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75" yWindow="-75" windowWidth="15480" windowHeight="11640" tabRatio="500" activeTab="3"/>
  </bookViews>
  <sheets>
    <sheet name="Master General" sheetId="2" r:id="rId1"/>
    <sheet name="Club Budgets" sheetId="1" r:id="rId2"/>
    <sheet name="200Rule" sheetId="3" r:id="rId3"/>
    <sheet name="Discretionary" sheetId="5" r:id="rId4"/>
    <sheet name="Senate Fund" sheetId="6" r:id="rId5"/>
  </sheets>
  <calcPr calcId="125725" concurrentCalc="0"/>
</workbook>
</file>

<file path=xl/calcChain.xml><?xml version="1.0" encoding="utf-8"?>
<calcChain xmlns="http://schemas.openxmlformats.org/spreadsheetml/2006/main">
  <c r="K287" i="1"/>
  <c r="I283"/>
  <c r="G61" i="5"/>
  <c r="G60"/>
  <c r="G59"/>
  <c r="I61"/>
  <c r="I60"/>
  <c r="I59"/>
  <c r="H61"/>
  <c r="H60"/>
  <c r="H59"/>
  <c r="G386"/>
  <c r="I696"/>
  <c r="F41" i="1"/>
  <c r="F26"/>
  <c r="G710" i="5"/>
  <c r="G711"/>
  <c r="G589"/>
  <c r="F43" i="1"/>
  <c r="E43"/>
  <c r="G738" i="5"/>
  <c r="F658" i="1"/>
  <c r="G531" i="5"/>
  <c r="G380"/>
  <c r="G578"/>
  <c r="F657" i="1"/>
  <c r="G434" i="5"/>
  <c r="G432"/>
  <c r="G574"/>
  <c r="I44" i="1"/>
  <c r="F674"/>
  <c r="G151" i="5"/>
  <c r="C866" i="1"/>
  <c r="E866"/>
  <c r="F866"/>
  <c r="F865"/>
  <c r="F869"/>
  <c r="G558" i="5"/>
  <c r="G677"/>
  <c r="F14" i="1"/>
  <c r="G512" i="5"/>
  <c r="H512"/>
  <c r="F845" i="1"/>
  <c r="F248"/>
  <c r="G485" i="5"/>
  <c r="F286" i="1"/>
  <c r="F293"/>
  <c r="D30" i="2"/>
  <c r="F384" i="1"/>
  <c r="F659"/>
  <c r="F662"/>
  <c r="F454"/>
  <c r="G554" i="5"/>
  <c r="G553"/>
  <c r="G106"/>
  <c r="F494" i="1"/>
  <c r="G24" i="5"/>
  <c r="G674" i="1"/>
  <c r="H386" i="5"/>
  <c r="G527"/>
  <c r="F150" i="1"/>
  <c r="G606" i="5"/>
  <c r="G630"/>
  <c r="I627"/>
  <c r="G628"/>
  <c r="G627"/>
  <c r="G633"/>
  <c r="F130" i="1"/>
  <c r="F234"/>
  <c r="D11" i="2"/>
  <c r="F135" i="1"/>
  <c r="F347"/>
  <c r="G613" i="5"/>
  <c r="F152" i="1"/>
  <c r="F145"/>
  <c r="H616" i="5"/>
  <c r="G616"/>
  <c r="H769"/>
  <c r="G769"/>
  <c r="F769"/>
  <c r="E769"/>
  <c r="D769"/>
  <c r="H766"/>
  <c r="H763"/>
  <c r="H759"/>
  <c r="H753"/>
  <c r="H749"/>
  <c r="H746"/>
  <c r="H770"/>
  <c r="H666"/>
  <c r="H663"/>
  <c r="H660"/>
  <c r="H655"/>
  <c r="H650"/>
  <c r="H639"/>
  <c r="H631"/>
  <c r="H625"/>
  <c r="H618"/>
  <c r="H614"/>
  <c r="H672"/>
  <c r="H675"/>
  <c r="H679"/>
  <c r="H733"/>
  <c r="H729"/>
  <c r="H726"/>
  <c r="H723"/>
  <c r="H718"/>
  <c r="H714"/>
  <c r="H708"/>
  <c r="H697"/>
  <c r="H694"/>
  <c r="H690"/>
  <c r="H685"/>
  <c r="H740"/>
  <c r="H771"/>
  <c r="G766"/>
  <c r="G763"/>
  <c r="G759"/>
  <c r="G753"/>
  <c r="G749"/>
  <c r="G746"/>
  <c r="G770"/>
  <c r="H678"/>
  <c r="G666"/>
  <c r="G663"/>
  <c r="G660"/>
  <c r="G655"/>
  <c r="G650"/>
  <c r="G639"/>
  <c r="G631"/>
  <c r="G625"/>
  <c r="G618"/>
  <c r="G614"/>
  <c r="G672"/>
  <c r="G675"/>
  <c r="G679"/>
  <c r="G733"/>
  <c r="G729"/>
  <c r="G726"/>
  <c r="G723"/>
  <c r="G718"/>
  <c r="G714"/>
  <c r="G708"/>
  <c r="G697"/>
  <c r="G694"/>
  <c r="G690"/>
  <c r="G685"/>
  <c r="G740"/>
  <c r="G771"/>
  <c r="F766"/>
  <c r="F763"/>
  <c r="F759"/>
  <c r="F753"/>
  <c r="F749"/>
  <c r="F746"/>
  <c r="F770"/>
  <c r="G678"/>
  <c r="F666"/>
  <c r="F663"/>
  <c r="F660"/>
  <c r="F655"/>
  <c r="F650"/>
  <c r="F634"/>
  <c r="F639"/>
  <c r="F631"/>
  <c r="F625"/>
  <c r="F618"/>
  <c r="F614"/>
  <c r="F672"/>
  <c r="F675"/>
  <c r="F679"/>
  <c r="F733"/>
  <c r="F729"/>
  <c r="F726"/>
  <c r="F723"/>
  <c r="F718"/>
  <c r="F714"/>
  <c r="F708"/>
  <c r="F697"/>
  <c r="F694"/>
  <c r="F690"/>
  <c r="F685"/>
  <c r="F740"/>
  <c r="F771"/>
  <c r="E766"/>
  <c r="E763"/>
  <c r="E759"/>
  <c r="E753"/>
  <c r="E749"/>
  <c r="E746"/>
  <c r="E770"/>
  <c r="F678"/>
  <c r="E666"/>
  <c r="E663"/>
  <c r="E660"/>
  <c r="E655"/>
  <c r="E650"/>
  <c r="E634"/>
  <c r="E639"/>
  <c r="E631"/>
  <c r="E625"/>
  <c r="E618"/>
  <c r="E614"/>
  <c r="E672"/>
  <c r="E675"/>
  <c r="E679"/>
  <c r="E733"/>
  <c r="E729"/>
  <c r="E726"/>
  <c r="E723"/>
  <c r="E718"/>
  <c r="E714"/>
  <c r="E708"/>
  <c r="E697"/>
  <c r="E694"/>
  <c r="E690"/>
  <c r="E685"/>
  <c r="E740"/>
  <c r="E771"/>
  <c r="D766"/>
  <c r="D763"/>
  <c r="D759"/>
  <c r="D753"/>
  <c r="D749"/>
  <c r="D746"/>
  <c r="D770"/>
  <c r="E678"/>
  <c r="D666"/>
  <c r="D663"/>
  <c r="D660"/>
  <c r="D655"/>
  <c r="D650"/>
  <c r="D634"/>
  <c r="D639"/>
  <c r="D631"/>
  <c r="D625"/>
  <c r="D618"/>
  <c r="D614"/>
  <c r="D672"/>
  <c r="D675"/>
  <c r="D679"/>
  <c r="D733"/>
  <c r="D729"/>
  <c r="D726"/>
  <c r="D723"/>
  <c r="D718"/>
  <c r="D714"/>
  <c r="D708"/>
  <c r="D697"/>
  <c r="D694"/>
  <c r="D690"/>
  <c r="D685"/>
  <c r="D740"/>
  <c r="D771"/>
  <c r="B26" i="3"/>
  <c r="B22"/>
  <c r="B18"/>
  <c r="B14"/>
  <c r="B8"/>
  <c r="B4"/>
  <c r="F348" i="1"/>
  <c r="F129"/>
  <c r="F307"/>
  <c r="F744"/>
  <c r="J140"/>
  <c r="I142"/>
  <c r="F143"/>
  <c r="F144"/>
  <c r="F147"/>
  <c r="F148"/>
  <c r="F418"/>
  <c r="F716"/>
  <c r="G716"/>
  <c r="F119"/>
  <c r="F134"/>
  <c r="F203"/>
  <c r="F73"/>
  <c r="F231"/>
  <c r="F281"/>
  <c r="F280"/>
  <c r="F282"/>
  <c r="F283"/>
  <c r="F545"/>
  <c r="F220"/>
  <c r="F449"/>
  <c r="F450"/>
  <c r="F447"/>
  <c r="F441"/>
  <c r="F440"/>
  <c r="F456"/>
  <c r="F34"/>
  <c r="F54"/>
  <c r="F52"/>
  <c r="G792"/>
  <c r="F792"/>
  <c r="F788"/>
  <c r="F790"/>
  <c r="F9"/>
  <c r="F506"/>
  <c r="F8"/>
  <c r="F7"/>
  <c r="F6"/>
  <c r="F543"/>
  <c r="F109"/>
  <c r="F108"/>
  <c r="F247"/>
  <c r="F246"/>
  <c r="F53"/>
  <c r="F235"/>
  <c r="F336"/>
  <c r="F284"/>
  <c r="F752"/>
  <c r="F751"/>
  <c r="F749"/>
  <c r="F761"/>
  <c r="F753"/>
  <c r="F748"/>
  <c r="F849"/>
  <c r="F212"/>
  <c r="F211"/>
  <c r="F202"/>
  <c r="F210"/>
  <c r="F655"/>
  <c r="F452"/>
  <c r="F458"/>
  <c r="F439"/>
  <c r="F68"/>
  <c r="F67"/>
  <c r="F181"/>
  <c r="F685"/>
  <c r="F785"/>
  <c r="F360"/>
  <c r="F539"/>
  <c r="F797"/>
  <c r="F245"/>
  <c r="F242"/>
  <c r="F243"/>
  <c r="F253"/>
  <c r="F672"/>
  <c r="F718"/>
  <c r="G718"/>
  <c r="F274"/>
  <c r="F275"/>
  <c r="G845"/>
  <c r="F841"/>
  <c r="F165"/>
  <c r="F168"/>
  <c r="F167"/>
  <c r="F166"/>
  <c r="F720"/>
  <c r="E35"/>
  <c r="E58"/>
  <c r="E83"/>
  <c r="E99"/>
  <c r="E137"/>
  <c r="E157"/>
  <c r="E160"/>
  <c r="E172"/>
  <c r="E183"/>
  <c r="E196"/>
  <c r="E213"/>
  <c r="E221"/>
  <c r="E236"/>
  <c r="E254"/>
  <c r="E268"/>
  <c r="E295"/>
  <c r="E311"/>
  <c r="E330"/>
  <c r="E341"/>
  <c r="E352"/>
  <c r="E355"/>
  <c r="E364"/>
  <c r="E376"/>
  <c r="E403"/>
  <c r="E412"/>
  <c r="E422"/>
  <c r="E431"/>
  <c r="E434"/>
  <c r="E462"/>
  <c r="E472"/>
  <c r="E485"/>
  <c r="E500"/>
  <c r="E514"/>
  <c r="E525"/>
  <c r="E533"/>
  <c r="E552"/>
  <c r="E569"/>
  <c r="E572"/>
  <c r="E609"/>
  <c r="E629"/>
  <c r="E648"/>
  <c r="E666"/>
  <c r="E678"/>
  <c r="E693"/>
  <c r="E697"/>
  <c r="E709"/>
  <c r="E724"/>
  <c r="E736"/>
  <c r="E739"/>
  <c r="E763"/>
  <c r="E779"/>
  <c r="E802"/>
  <c r="E835"/>
  <c r="E855"/>
  <c r="E872"/>
  <c r="E875"/>
  <c r="E877"/>
  <c r="D213"/>
  <c r="D763"/>
  <c r="C763"/>
  <c r="C666"/>
  <c r="D666"/>
  <c r="D341"/>
  <c r="D330"/>
  <c r="C330"/>
  <c r="G6"/>
  <c r="H6"/>
  <c r="G7"/>
  <c r="H7"/>
  <c r="G8"/>
  <c r="H8"/>
  <c r="G9"/>
  <c r="H9"/>
  <c r="G11"/>
  <c r="H11"/>
  <c r="H35"/>
  <c r="H160"/>
  <c r="H877"/>
  <c r="G35"/>
  <c r="G160"/>
  <c r="G877"/>
  <c r="F35"/>
  <c r="F58"/>
  <c r="F83"/>
  <c r="F99"/>
  <c r="F137"/>
  <c r="F157"/>
  <c r="F160"/>
  <c r="F172"/>
  <c r="F183"/>
  <c r="F196"/>
  <c r="F213"/>
  <c r="F221"/>
  <c r="F236"/>
  <c r="F254"/>
  <c r="F268"/>
  <c r="F295"/>
  <c r="F311"/>
  <c r="F330"/>
  <c r="F341"/>
  <c r="F352"/>
  <c r="F355"/>
  <c r="F364"/>
  <c r="F376"/>
  <c r="F403"/>
  <c r="F412"/>
  <c r="F422"/>
  <c r="F431"/>
  <c r="F434"/>
  <c r="F462"/>
  <c r="F472"/>
  <c r="F485"/>
  <c r="F500"/>
  <c r="F514"/>
  <c r="F525"/>
  <c r="F533"/>
  <c r="F552"/>
  <c r="F569"/>
  <c r="F572"/>
  <c r="F609"/>
  <c r="F629"/>
  <c r="F648"/>
  <c r="F678"/>
  <c r="F693"/>
  <c r="F697"/>
  <c r="F709"/>
  <c r="F724"/>
  <c r="F736"/>
  <c r="F739"/>
  <c r="F802"/>
  <c r="F835"/>
  <c r="F855"/>
  <c r="F875"/>
  <c r="F877"/>
  <c r="D35"/>
  <c r="D58"/>
  <c r="D83"/>
  <c r="D99"/>
  <c r="D137"/>
  <c r="D157"/>
  <c r="D160"/>
  <c r="D172"/>
  <c r="D183"/>
  <c r="D196"/>
  <c r="D221"/>
  <c r="D236"/>
  <c r="D254"/>
  <c r="D268"/>
  <c r="D295"/>
  <c r="D311"/>
  <c r="D352"/>
  <c r="D355"/>
  <c r="D364"/>
  <c r="D376"/>
  <c r="D403"/>
  <c r="D412"/>
  <c r="D422"/>
  <c r="D431"/>
  <c r="D434"/>
  <c r="D462"/>
  <c r="D472"/>
  <c r="D485"/>
  <c r="D500"/>
  <c r="D514"/>
  <c r="D525"/>
  <c r="D533"/>
  <c r="D552"/>
  <c r="D569"/>
  <c r="D572"/>
  <c r="D609"/>
  <c r="D629"/>
  <c r="D648"/>
  <c r="D678"/>
  <c r="D693"/>
  <c r="D697"/>
  <c r="D709"/>
  <c r="D724"/>
  <c r="D736"/>
  <c r="D739"/>
  <c r="D779"/>
  <c r="D802"/>
  <c r="D835"/>
  <c r="D855"/>
  <c r="D872"/>
  <c r="D875"/>
  <c r="D877"/>
  <c r="C35"/>
  <c r="C58"/>
  <c r="C83"/>
  <c r="C99"/>
  <c r="C137"/>
  <c r="C157"/>
  <c r="C160"/>
  <c r="C172"/>
  <c r="C183"/>
  <c r="C196"/>
  <c r="C213"/>
  <c r="C221"/>
  <c r="C236"/>
  <c r="C254"/>
  <c r="C268"/>
  <c r="C295"/>
  <c r="C311"/>
  <c r="C341"/>
  <c r="C352"/>
  <c r="C355"/>
  <c r="C364"/>
  <c r="C376"/>
  <c r="C403"/>
  <c r="C412"/>
  <c r="C422"/>
  <c r="C431"/>
  <c r="C434"/>
  <c r="C462"/>
  <c r="C472"/>
  <c r="C485"/>
  <c r="C500"/>
  <c r="C514"/>
  <c r="C525"/>
  <c r="C533"/>
  <c r="C552"/>
  <c r="C569"/>
  <c r="C572"/>
  <c r="C609"/>
  <c r="C629"/>
  <c r="C648"/>
  <c r="C678"/>
  <c r="C693"/>
  <c r="C697"/>
  <c r="C709"/>
  <c r="C724"/>
  <c r="C736"/>
  <c r="C739"/>
  <c r="C779"/>
  <c r="C799"/>
  <c r="C802"/>
  <c r="C820"/>
  <c r="C835"/>
  <c r="C855"/>
  <c r="C872"/>
  <c r="C875"/>
  <c r="C877"/>
  <c r="H875"/>
  <c r="G802"/>
  <c r="G835"/>
  <c r="G855"/>
  <c r="G875"/>
  <c r="H855"/>
  <c r="H835"/>
  <c r="H802"/>
  <c r="H709"/>
  <c r="H739"/>
  <c r="G709"/>
  <c r="G724"/>
  <c r="G736"/>
  <c r="G739"/>
  <c r="H736"/>
  <c r="H724"/>
  <c r="H609"/>
  <c r="H697"/>
  <c r="G609"/>
  <c r="G629"/>
  <c r="G648"/>
  <c r="G678"/>
  <c r="G693"/>
  <c r="G697"/>
  <c r="H693"/>
  <c r="H678"/>
  <c r="H648"/>
  <c r="H629"/>
  <c r="G439"/>
  <c r="G440"/>
  <c r="G441"/>
  <c r="G442"/>
  <c r="G443"/>
  <c r="G444"/>
  <c r="G445"/>
  <c r="G446"/>
  <c r="G447"/>
  <c r="G449"/>
  <c r="G462"/>
  <c r="H462"/>
  <c r="G468"/>
  <c r="G469"/>
  <c r="G471"/>
  <c r="G472"/>
  <c r="H472"/>
  <c r="G478"/>
  <c r="G479"/>
  <c r="G481"/>
  <c r="G485"/>
  <c r="H485"/>
  <c r="G491"/>
  <c r="G493"/>
  <c r="G500"/>
  <c r="H500"/>
  <c r="G506"/>
  <c r="G507"/>
  <c r="G514"/>
  <c r="H514"/>
  <c r="G520"/>
  <c r="G525"/>
  <c r="H525"/>
  <c r="G531"/>
  <c r="G533"/>
  <c r="H533"/>
  <c r="G539"/>
  <c r="G540"/>
  <c r="G552"/>
  <c r="H552"/>
  <c r="G558"/>
  <c r="G559"/>
  <c r="G569"/>
  <c r="H569"/>
  <c r="H572"/>
  <c r="G572"/>
  <c r="G568"/>
  <c r="H568"/>
  <c r="G567"/>
  <c r="H567"/>
  <c r="G565"/>
  <c r="H565"/>
  <c r="G564"/>
  <c r="H564"/>
  <c r="G562"/>
  <c r="H562"/>
  <c r="G561"/>
  <c r="H561"/>
  <c r="G560"/>
  <c r="H560"/>
  <c r="H559"/>
  <c r="H558"/>
  <c r="G551"/>
  <c r="H551"/>
  <c r="G550"/>
  <c r="H550"/>
  <c r="G549"/>
  <c r="H549"/>
  <c r="G548"/>
  <c r="H548"/>
  <c r="G547"/>
  <c r="H547"/>
  <c r="G545"/>
  <c r="H545"/>
  <c r="G544"/>
  <c r="H544"/>
  <c r="G543"/>
  <c r="H543"/>
  <c r="G542"/>
  <c r="H542"/>
  <c r="H540"/>
  <c r="H539"/>
  <c r="G532"/>
  <c r="H532"/>
  <c r="H531"/>
  <c r="G524"/>
  <c r="H524"/>
  <c r="G523"/>
  <c r="H523"/>
  <c r="G522"/>
  <c r="H522"/>
  <c r="H520"/>
  <c r="G513"/>
  <c r="H513"/>
  <c r="G511"/>
  <c r="H511"/>
  <c r="G509"/>
  <c r="H509"/>
  <c r="G508"/>
  <c r="H508"/>
  <c r="H507"/>
  <c r="H506"/>
  <c r="G499"/>
  <c r="H499"/>
  <c r="G498"/>
  <c r="H498"/>
  <c r="G497"/>
  <c r="H497"/>
  <c r="G496"/>
  <c r="H496"/>
  <c r="G495"/>
  <c r="H495"/>
  <c r="G494"/>
  <c r="H494"/>
  <c r="H493"/>
  <c r="H491"/>
  <c r="G484"/>
  <c r="H484"/>
  <c r="G483"/>
  <c r="H483"/>
  <c r="H481"/>
  <c r="H479"/>
  <c r="H478"/>
  <c r="H471"/>
  <c r="H469"/>
  <c r="H468"/>
  <c r="G461"/>
  <c r="H461"/>
  <c r="G459"/>
  <c r="H459"/>
  <c r="G458"/>
  <c r="H458"/>
  <c r="G457"/>
  <c r="H457"/>
  <c r="G456"/>
  <c r="H456"/>
  <c r="G454"/>
  <c r="H454"/>
  <c r="G452"/>
  <c r="H452"/>
  <c r="G450"/>
  <c r="H450"/>
  <c r="H449"/>
  <c r="H447"/>
  <c r="H446"/>
  <c r="H445"/>
  <c r="H444"/>
  <c r="H443"/>
  <c r="H442"/>
  <c r="H441"/>
  <c r="H440"/>
  <c r="H439"/>
  <c r="G360"/>
  <c r="G361"/>
  <c r="G363"/>
  <c r="G364"/>
  <c r="H364"/>
  <c r="G370"/>
  <c r="G371"/>
  <c r="G373"/>
  <c r="G375"/>
  <c r="G376"/>
  <c r="H376"/>
  <c r="G382"/>
  <c r="G383"/>
  <c r="G384"/>
  <c r="G385"/>
  <c r="G386"/>
  <c r="G388"/>
  <c r="G389"/>
  <c r="G390"/>
  <c r="G391"/>
  <c r="G392"/>
  <c r="G394"/>
  <c r="G395"/>
  <c r="G396"/>
  <c r="G397"/>
  <c r="G398"/>
  <c r="G403"/>
  <c r="H403"/>
  <c r="G409"/>
  <c r="G411"/>
  <c r="G412"/>
  <c r="H412"/>
  <c r="G418"/>
  <c r="G419"/>
  <c r="G421"/>
  <c r="G422"/>
  <c r="H422"/>
  <c r="H431"/>
  <c r="H434"/>
  <c r="G431"/>
  <c r="G434"/>
  <c r="H421"/>
  <c r="H419"/>
  <c r="H418"/>
  <c r="H411"/>
  <c r="H409"/>
  <c r="G402"/>
  <c r="H402"/>
  <c r="G401"/>
  <c r="H401"/>
  <c r="G399"/>
  <c r="H399"/>
  <c r="H398"/>
  <c r="H397"/>
  <c r="H396"/>
  <c r="H395"/>
  <c r="H394"/>
  <c r="H392"/>
  <c r="H391"/>
  <c r="H390"/>
  <c r="H389"/>
  <c r="H388"/>
  <c r="H386"/>
  <c r="H385"/>
  <c r="H384"/>
  <c r="H383"/>
  <c r="H382"/>
  <c r="H375"/>
  <c r="H373"/>
  <c r="H371"/>
  <c r="H370"/>
  <c r="H363"/>
  <c r="H361"/>
  <c r="H360"/>
  <c r="G165"/>
  <c r="G166"/>
  <c r="G167"/>
  <c r="G168"/>
  <c r="G169"/>
  <c r="G171"/>
  <c r="G172"/>
  <c r="H172"/>
  <c r="G178"/>
  <c r="G179"/>
  <c r="G181"/>
  <c r="G182"/>
  <c r="G183"/>
  <c r="H183"/>
  <c r="G189"/>
  <c r="G190"/>
  <c r="G192"/>
  <c r="G193"/>
  <c r="G195"/>
  <c r="G196"/>
  <c r="H196"/>
  <c r="G202"/>
  <c r="H202"/>
  <c r="G203"/>
  <c r="H203"/>
  <c r="G204"/>
  <c r="H204"/>
  <c r="G205"/>
  <c r="H205"/>
  <c r="G207"/>
  <c r="H207"/>
  <c r="G208"/>
  <c r="H208"/>
  <c r="H213"/>
  <c r="G219"/>
  <c r="H219"/>
  <c r="G220"/>
  <c r="H220"/>
  <c r="H221"/>
  <c r="G227"/>
  <c r="H227"/>
  <c r="G228"/>
  <c r="H228"/>
  <c r="G229"/>
  <c r="H229"/>
  <c r="G230"/>
  <c r="H230"/>
  <c r="G231"/>
  <c r="H231"/>
  <c r="G232"/>
  <c r="H232"/>
  <c r="G234"/>
  <c r="H234"/>
  <c r="G235"/>
  <c r="H235"/>
  <c r="H236"/>
  <c r="G242"/>
  <c r="H242"/>
  <c r="G243"/>
  <c r="H243"/>
  <c r="G245"/>
  <c r="H245"/>
  <c r="G246"/>
  <c r="H246"/>
  <c r="G247"/>
  <c r="H247"/>
  <c r="G248"/>
  <c r="H248"/>
  <c r="G249"/>
  <c r="H249"/>
  <c r="G251"/>
  <c r="H251"/>
  <c r="G252"/>
  <c r="H252"/>
  <c r="G253"/>
  <c r="H253"/>
  <c r="H254"/>
  <c r="G260"/>
  <c r="H260"/>
  <c r="G261"/>
  <c r="H261"/>
  <c r="G263"/>
  <c r="H263"/>
  <c r="G264"/>
  <c r="H264"/>
  <c r="G265"/>
  <c r="H265"/>
  <c r="G266"/>
  <c r="H266"/>
  <c r="G267"/>
  <c r="H267"/>
  <c r="H268"/>
  <c r="G274"/>
  <c r="H274"/>
  <c r="G275"/>
  <c r="H275"/>
  <c r="G277"/>
  <c r="H277"/>
  <c r="H295"/>
  <c r="H355"/>
  <c r="G213"/>
  <c r="G221"/>
  <c r="G236"/>
  <c r="G254"/>
  <c r="G268"/>
  <c r="G278"/>
  <c r="G280"/>
  <c r="G281"/>
  <c r="G282"/>
  <c r="G283"/>
  <c r="G284"/>
  <c r="G286"/>
  <c r="G287"/>
  <c r="G288"/>
  <c r="G289"/>
  <c r="G290"/>
  <c r="G291"/>
  <c r="G292"/>
  <c r="G293"/>
  <c r="G294"/>
  <c r="G295"/>
  <c r="G301"/>
  <c r="G302"/>
  <c r="G304"/>
  <c r="G305"/>
  <c r="G307"/>
  <c r="G308"/>
  <c r="G309"/>
  <c r="G311"/>
  <c r="G317"/>
  <c r="G318"/>
  <c r="G330"/>
  <c r="G336"/>
  <c r="G338"/>
  <c r="G339"/>
  <c r="G340"/>
  <c r="G341"/>
  <c r="G347"/>
  <c r="G348"/>
  <c r="G349"/>
  <c r="G350"/>
  <c r="G351"/>
  <c r="G352"/>
  <c r="G355"/>
  <c r="H347"/>
  <c r="H348"/>
  <c r="H349"/>
  <c r="H350"/>
  <c r="H351"/>
  <c r="H352"/>
  <c r="H336"/>
  <c r="H338"/>
  <c r="H339"/>
  <c r="H341"/>
  <c r="H340"/>
  <c r="H317"/>
  <c r="H318"/>
  <c r="H330"/>
  <c r="G329"/>
  <c r="H329"/>
  <c r="G328"/>
  <c r="H328"/>
  <c r="G327"/>
  <c r="H327"/>
  <c r="G326"/>
  <c r="H326"/>
  <c r="G325"/>
  <c r="H325"/>
  <c r="G324"/>
  <c r="H324"/>
  <c r="G323"/>
  <c r="H323"/>
  <c r="G322"/>
  <c r="H322"/>
  <c r="G321"/>
  <c r="H321"/>
  <c r="G320"/>
  <c r="H320"/>
  <c r="H301"/>
  <c r="H302"/>
  <c r="H304"/>
  <c r="H305"/>
  <c r="H307"/>
  <c r="H308"/>
  <c r="H309"/>
  <c r="H311"/>
  <c r="G310"/>
  <c r="H310"/>
  <c r="H294"/>
  <c r="H293"/>
  <c r="H292"/>
  <c r="H291"/>
  <c r="H290"/>
  <c r="H289"/>
  <c r="H288"/>
  <c r="H287"/>
  <c r="H286"/>
  <c r="H284"/>
  <c r="H283"/>
  <c r="H282"/>
  <c r="H281"/>
  <c r="H280"/>
  <c r="H278"/>
  <c r="G212"/>
  <c r="H212"/>
  <c r="G211"/>
  <c r="H211"/>
  <c r="G210"/>
  <c r="H210"/>
  <c r="H195"/>
  <c r="H193"/>
  <c r="H192"/>
  <c r="H190"/>
  <c r="H189"/>
  <c r="H182"/>
  <c r="H181"/>
  <c r="H179"/>
  <c r="H178"/>
  <c r="H171"/>
  <c r="H169"/>
  <c r="H168"/>
  <c r="H167"/>
  <c r="H166"/>
  <c r="H165"/>
  <c r="G143"/>
  <c r="H143"/>
  <c r="G144"/>
  <c r="H144"/>
  <c r="G145"/>
  <c r="H145"/>
  <c r="G147"/>
  <c r="H147"/>
  <c r="G148"/>
  <c r="H148"/>
  <c r="G150"/>
  <c r="H150"/>
  <c r="G151"/>
  <c r="H151"/>
  <c r="G152"/>
  <c r="H152"/>
  <c r="G154"/>
  <c r="H154"/>
  <c r="H157"/>
  <c r="G155"/>
  <c r="G156"/>
  <c r="G157"/>
  <c r="H156"/>
  <c r="H155"/>
  <c r="G105"/>
  <c r="H105"/>
  <c r="G106"/>
  <c r="H106"/>
  <c r="G108"/>
  <c r="H108"/>
  <c r="G109"/>
  <c r="H109"/>
  <c r="G110"/>
  <c r="H110"/>
  <c r="H137"/>
  <c r="G111"/>
  <c r="G113"/>
  <c r="G114"/>
  <c r="G115"/>
  <c r="G117"/>
  <c r="G119"/>
  <c r="G120"/>
  <c r="G121"/>
  <c r="G123"/>
  <c r="G124"/>
  <c r="G125"/>
  <c r="G126"/>
  <c r="G127"/>
  <c r="G129"/>
  <c r="G130"/>
  <c r="G131"/>
  <c r="G132"/>
  <c r="G134"/>
  <c r="G135"/>
  <c r="G136"/>
  <c r="G137"/>
  <c r="H136"/>
  <c r="H135"/>
  <c r="H134"/>
  <c r="H132"/>
  <c r="H131"/>
  <c r="H130"/>
  <c r="H129"/>
  <c r="H127"/>
  <c r="H126"/>
  <c r="H125"/>
  <c r="H124"/>
  <c r="H123"/>
  <c r="H121"/>
  <c r="H120"/>
  <c r="H119"/>
  <c r="H117"/>
  <c r="H115"/>
  <c r="H114"/>
  <c r="H113"/>
  <c r="H111"/>
  <c r="G89"/>
  <c r="H89"/>
  <c r="G90"/>
  <c r="H90"/>
  <c r="G91"/>
  <c r="H91"/>
  <c r="G92"/>
  <c r="H92"/>
  <c r="G94"/>
  <c r="H94"/>
  <c r="G95"/>
  <c r="H95"/>
  <c r="G96"/>
  <c r="H96"/>
  <c r="G97"/>
  <c r="H97"/>
  <c r="G98"/>
  <c r="H98"/>
  <c r="H99"/>
  <c r="G99"/>
  <c r="G64"/>
  <c r="G65"/>
  <c r="G67"/>
  <c r="G68"/>
  <c r="G83"/>
  <c r="H83"/>
  <c r="G82"/>
  <c r="H82"/>
  <c r="G81"/>
  <c r="H81"/>
  <c r="G79"/>
  <c r="H79"/>
  <c r="G78"/>
  <c r="H78"/>
  <c r="G77"/>
  <c r="H77"/>
  <c r="G76"/>
  <c r="H76"/>
  <c r="G74"/>
  <c r="H74"/>
  <c r="G73"/>
  <c r="H73"/>
  <c r="G72"/>
  <c r="H72"/>
  <c r="G71"/>
  <c r="H71"/>
  <c r="G69"/>
  <c r="H69"/>
  <c r="H68"/>
  <c r="H67"/>
  <c r="H65"/>
  <c r="H64"/>
  <c r="G41"/>
  <c r="H41"/>
  <c r="G42"/>
  <c r="H42"/>
  <c r="G43"/>
  <c r="H43"/>
  <c r="G44"/>
  <c r="H44"/>
  <c r="G45"/>
  <c r="H45"/>
  <c r="G47"/>
  <c r="H47"/>
  <c r="H58"/>
  <c r="G49"/>
  <c r="G50"/>
  <c r="G52"/>
  <c r="G53"/>
  <c r="G54"/>
  <c r="G56"/>
  <c r="G57"/>
  <c r="G58"/>
  <c r="H57"/>
  <c r="H56"/>
  <c r="H54"/>
  <c r="H53"/>
  <c r="H52"/>
  <c r="H50"/>
  <c r="H49"/>
  <c r="G34"/>
  <c r="H34"/>
  <c r="G33"/>
  <c r="H33"/>
  <c r="G32"/>
  <c r="H32"/>
  <c r="G30"/>
  <c r="H30"/>
  <c r="G29"/>
  <c r="H29"/>
  <c r="G28"/>
  <c r="H28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5"/>
  <c r="H15"/>
  <c r="G14"/>
  <c r="H14"/>
  <c r="G13"/>
  <c r="H13"/>
  <c r="G12"/>
  <c r="H12"/>
  <c r="H739" i="5"/>
  <c r="G739"/>
  <c r="F739"/>
  <c r="E739"/>
  <c r="D739"/>
  <c r="H489"/>
  <c r="H551"/>
  <c r="G489"/>
  <c r="G551"/>
  <c r="F489"/>
  <c r="F551"/>
  <c r="E489"/>
  <c r="E551"/>
  <c r="D489"/>
  <c r="D551"/>
  <c r="D678"/>
  <c r="G361"/>
  <c r="G428"/>
  <c r="G427"/>
  <c r="G277"/>
  <c r="H277"/>
  <c r="G94"/>
  <c r="H94"/>
  <c r="G444"/>
  <c r="G442"/>
  <c r="G211"/>
  <c r="I210"/>
  <c r="G209"/>
  <c r="G212"/>
  <c r="G213"/>
  <c r="H454"/>
  <c r="G454"/>
  <c r="G286"/>
  <c r="G453"/>
  <c r="G437"/>
  <c r="H437"/>
  <c r="G318"/>
  <c r="G101"/>
  <c r="G111"/>
  <c r="G112"/>
  <c r="H112"/>
  <c r="E129"/>
  <c r="E126"/>
  <c r="E133"/>
  <c r="E115"/>
  <c r="E116"/>
  <c r="E113"/>
  <c r="E93"/>
  <c r="E98"/>
  <c r="E91"/>
  <c r="E88"/>
  <c r="E84"/>
  <c r="E80"/>
  <c r="E63"/>
  <c r="E57"/>
  <c r="E52"/>
  <c r="E48"/>
  <c r="E45"/>
  <c r="E39"/>
  <c r="E36"/>
  <c r="E32"/>
  <c r="E28"/>
  <c r="E21"/>
  <c r="E17"/>
  <c r="E12"/>
  <c r="E134"/>
  <c r="E204"/>
  <c r="E198"/>
  <c r="E192"/>
  <c r="E189"/>
  <c r="E186"/>
  <c r="E182"/>
  <c r="E179"/>
  <c r="E176"/>
  <c r="E168"/>
  <c r="E164"/>
  <c r="E160"/>
  <c r="E157"/>
  <c r="E152"/>
  <c r="E147"/>
  <c r="E143"/>
  <c r="E139"/>
  <c r="E205"/>
  <c r="E266"/>
  <c r="E269"/>
  <c r="E263"/>
  <c r="E256"/>
  <c r="E223"/>
  <c r="E252"/>
  <c r="E248"/>
  <c r="E245"/>
  <c r="E237"/>
  <c r="E230"/>
  <c r="E218"/>
  <c r="E209"/>
  <c r="E214"/>
  <c r="E270"/>
  <c r="E370"/>
  <c r="E367"/>
  <c r="E364"/>
  <c r="E359"/>
  <c r="E355"/>
  <c r="E347"/>
  <c r="E327"/>
  <c r="E324"/>
  <c r="E320"/>
  <c r="E316"/>
  <c r="E300"/>
  <c r="E296"/>
  <c r="E292"/>
  <c r="E293"/>
  <c r="E289"/>
  <c r="E284"/>
  <c r="E278"/>
  <c r="E275"/>
  <c r="E374"/>
  <c r="E477"/>
  <c r="E474"/>
  <c r="E471"/>
  <c r="E466"/>
  <c r="E459"/>
  <c r="E456"/>
  <c r="E451"/>
  <c r="E445"/>
  <c r="E440"/>
  <c r="E435"/>
  <c r="E429"/>
  <c r="E425"/>
  <c r="E421"/>
  <c r="E418"/>
  <c r="E415"/>
  <c r="E410"/>
  <c r="E406"/>
  <c r="E401"/>
  <c r="E392"/>
  <c r="E397"/>
  <c r="E387"/>
  <c r="E384"/>
  <c r="E381"/>
  <c r="E478"/>
  <c r="E539"/>
  <c r="E536"/>
  <c r="E533"/>
  <c r="E529"/>
  <c r="E525"/>
  <c r="E520"/>
  <c r="E517"/>
  <c r="E514"/>
  <c r="E510"/>
  <c r="E504"/>
  <c r="E500"/>
  <c r="E497"/>
  <c r="E492"/>
  <c r="E486"/>
  <c r="E483"/>
  <c r="E540"/>
  <c r="E603"/>
  <c r="E596"/>
  <c r="E591"/>
  <c r="E586"/>
  <c r="E580"/>
  <c r="E576"/>
  <c r="E572"/>
  <c r="E568"/>
  <c r="E565"/>
  <c r="E559"/>
  <c r="E556"/>
  <c r="E548"/>
  <c r="E545"/>
  <c r="E608"/>
  <c r="E609"/>
  <c r="F120"/>
  <c r="F121"/>
  <c r="F126"/>
  <c r="F129"/>
  <c r="F133"/>
  <c r="F113"/>
  <c r="F93"/>
  <c r="F98"/>
  <c r="F91"/>
  <c r="F88"/>
  <c r="F84"/>
  <c r="F80"/>
  <c r="F63"/>
  <c r="F57"/>
  <c r="F52"/>
  <c r="F48"/>
  <c r="F45"/>
  <c r="F39"/>
  <c r="F36"/>
  <c r="F32"/>
  <c r="F28"/>
  <c r="F21"/>
  <c r="F17"/>
  <c r="F12"/>
  <c r="F134"/>
  <c r="F204"/>
  <c r="F198"/>
  <c r="F192"/>
  <c r="F189"/>
  <c r="F186"/>
  <c r="F182"/>
  <c r="F179"/>
  <c r="F176"/>
  <c r="F168"/>
  <c r="F164"/>
  <c r="F160"/>
  <c r="F157"/>
  <c r="F152"/>
  <c r="F147"/>
  <c r="F143"/>
  <c r="F139"/>
  <c r="F205"/>
  <c r="F266"/>
  <c r="F269"/>
  <c r="F263"/>
  <c r="F256"/>
  <c r="F223"/>
  <c r="F252"/>
  <c r="F248"/>
  <c r="F245"/>
  <c r="F237"/>
  <c r="F230"/>
  <c r="F218"/>
  <c r="F209"/>
  <c r="F214"/>
  <c r="F270"/>
  <c r="F359"/>
  <c r="F355"/>
  <c r="F347"/>
  <c r="F327"/>
  <c r="F324"/>
  <c r="F320"/>
  <c r="F316"/>
  <c r="F300"/>
  <c r="F296"/>
  <c r="F293"/>
  <c r="F289"/>
  <c r="F284"/>
  <c r="F278"/>
  <c r="F275"/>
  <c r="F374"/>
  <c r="F477"/>
  <c r="F474"/>
  <c r="F471"/>
  <c r="F466"/>
  <c r="F459"/>
  <c r="F456"/>
  <c r="F451"/>
  <c r="F445"/>
  <c r="F440"/>
  <c r="F435"/>
  <c r="F429"/>
  <c r="F425"/>
  <c r="F421"/>
  <c r="F418"/>
  <c r="F415"/>
  <c r="F410"/>
  <c r="F406"/>
  <c r="F401"/>
  <c r="F392"/>
  <c r="F397"/>
  <c r="F387"/>
  <c r="F384"/>
  <c r="F381"/>
  <c r="F478"/>
  <c r="F539"/>
  <c r="F536"/>
  <c r="F533"/>
  <c r="F529"/>
  <c r="F525"/>
  <c r="F520"/>
  <c r="F517"/>
  <c r="F514"/>
  <c r="F510"/>
  <c r="F504"/>
  <c r="F500"/>
  <c r="F497"/>
  <c r="F492"/>
  <c r="F486"/>
  <c r="F483"/>
  <c r="F540"/>
  <c r="F603"/>
  <c r="F596"/>
  <c r="F591"/>
  <c r="F586"/>
  <c r="F580"/>
  <c r="F576"/>
  <c r="F572"/>
  <c r="F568"/>
  <c r="F565"/>
  <c r="F559"/>
  <c r="F556"/>
  <c r="F548"/>
  <c r="F545"/>
  <c r="F608"/>
  <c r="F609"/>
  <c r="G133"/>
  <c r="G116"/>
  <c r="G104"/>
  <c r="G105"/>
  <c r="G107"/>
  <c r="G113"/>
  <c r="G93"/>
  <c r="G98"/>
  <c r="G91"/>
  <c r="G86"/>
  <c r="G88"/>
  <c r="G83"/>
  <c r="G84"/>
  <c r="G80"/>
  <c r="G63"/>
  <c r="G57"/>
  <c r="G52"/>
  <c r="G47"/>
  <c r="G48"/>
  <c r="G45"/>
  <c r="G38"/>
  <c r="G39"/>
  <c r="G36"/>
  <c r="G30"/>
  <c r="G32"/>
  <c r="G28"/>
  <c r="G21"/>
  <c r="G14"/>
  <c r="G15"/>
  <c r="G17"/>
  <c r="G12"/>
  <c r="G129"/>
  <c r="G118"/>
  <c r="G126"/>
  <c r="G134"/>
  <c r="G184"/>
  <c r="G186"/>
  <c r="G181"/>
  <c r="G182"/>
  <c r="G178"/>
  <c r="G179"/>
  <c r="G176"/>
  <c r="G168"/>
  <c r="G164"/>
  <c r="G160"/>
  <c r="G157"/>
  <c r="G152"/>
  <c r="G147"/>
  <c r="G141"/>
  <c r="G143"/>
  <c r="G139"/>
  <c r="G205"/>
  <c r="G261"/>
  <c r="G262"/>
  <c r="G266"/>
  <c r="G258"/>
  <c r="G263"/>
  <c r="G269"/>
  <c r="G256"/>
  <c r="G223"/>
  <c r="G250"/>
  <c r="G252"/>
  <c r="G248"/>
  <c r="G239"/>
  <c r="G245"/>
  <c r="G237"/>
  <c r="G230"/>
  <c r="G218"/>
  <c r="G214"/>
  <c r="G270"/>
  <c r="G349"/>
  <c r="G355"/>
  <c r="G329"/>
  <c r="G347"/>
  <c r="G327"/>
  <c r="G324"/>
  <c r="G320"/>
  <c r="G316"/>
  <c r="G300"/>
  <c r="G295"/>
  <c r="G296"/>
  <c r="G293"/>
  <c r="G289"/>
  <c r="G284"/>
  <c r="G278"/>
  <c r="G275"/>
  <c r="G374"/>
  <c r="G477"/>
  <c r="G474"/>
  <c r="G471"/>
  <c r="G466"/>
  <c r="G459"/>
  <c r="G456"/>
  <c r="G450"/>
  <c r="G451"/>
  <c r="G445"/>
  <c r="G440"/>
  <c r="G431"/>
  <c r="G433"/>
  <c r="G435"/>
  <c r="G429"/>
  <c r="G425"/>
  <c r="G421"/>
  <c r="G418"/>
  <c r="G415"/>
  <c r="G410"/>
  <c r="G406"/>
  <c r="G401"/>
  <c r="G397"/>
  <c r="G387"/>
  <c r="G384"/>
  <c r="G381"/>
  <c r="G478"/>
  <c r="G539"/>
  <c r="G536"/>
  <c r="G533"/>
  <c r="G529"/>
  <c r="G525"/>
  <c r="G519"/>
  <c r="G520"/>
  <c r="G517"/>
  <c r="G514"/>
  <c r="G510"/>
  <c r="G504"/>
  <c r="G499"/>
  <c r="G500"/>
  <c r="G497"/>
  <c r="G492"/>
  <c r="G486"/>
  <c r="G483"/>
  <c r="G540"/>
  <c r="G603"/>
  <c r="G596"/>
  <c r="G591"/>
  <c r="G586"/>
  <c r="G580"/>
  <c r="G576"/>
  <c r="G572"/>
  <c r="G568"/>
  <c r="G565"/>
  <c r="G559"/>
  <c r="G556"/>
  <c r="G548"/>
  <c r="G545"/>
  <c r="G608"/>
  <c r="G609"/>
  <c r="H133"/>
  <c r="H116"/>
  <c r="H105"/>
  <c r="H113"/>
  <c r="H93"/>
  <c r="H98"/>
  <c r="H91"/>
  <c r="H88"/>
  <c r="H83"/>
  <c r="H84"/>
  <c r="H80"/>
  <c r="H63"/>
  <c r="H57"/>
  <c r="H52"/>
  <c r="H48"/>
  <c r="H45"/>
  <c r="H38"/>
  <c r="H39"/>
  <c r="H36"/>
  <c r="H32"/>
  <c r="H28"/>
  <c r="H21"/>
  <c r="H14"/>
  <c r="H15"/>
  <c r="H17"/>
  <c r="H12"/>
  <c r="H129"/>
  <c r="H126"/>
  <c r="H134"/>
  <c r="H184"/>
  <c r="H186"/>
  <c r="H181"/>
  <c r="H182"/>
  <c r="H179"/>
  <c r="H176"/>
  <c r="H168"/>
  <c r="H164"/>
  <c r="H160"/>
  <c r="H157"/>
  <c r="H152"/>
  <c r="H147"/>
  <c r="H141"/>
  <c r="H143"/>
  <c r="H139"/>
  <c r="H205"/>
  <c r="H261"/>
  <c r="H266"/>
  <c r="H258"/>
  <c r="H263"/>
  <c r="H269"/>
  <c r="H256"/>
  <c r="H223"/>
  <c r="H250"/>
  <c r="H252"/>
  <c r="H248"/>
  <c r="H245"/>
  <c r="H237"/>
  <c r="H230"/>
  <c r="H218"/>
  <c r="H214"/>
  <c r="H270"/>
  <c r="H355"/>
  <c r="H329"/>
  <c r="H347"/>
  <c r="H327"/>
  <c r="H324"/>
  <c r="H320"/>
  <c r="H316"/>
  <c r="H300"/>
  <c r="H296"/>
  <c r="H293"/>
  <c r="H289"/>
  <c r="H284"/>
  <c r="H278"/>
  <c r="H275"/>
  <c r="H374"/>
  <c r="H477"/>
  <c r="H474"/>
  <c r="H471"/>
  <c r="H466"/>
  <c r="H459"/>
  <c r="H456"/>
  <c r="H451"/>
  <c r="H445"/>
  <c r="H440"/>
  <c r="H431"/>
  <c r="H435"/>
  <c r="H429"/>
  <c r="H425"/>
  <c r="H421"/>
  <c r="H418"/>
  <c r="H415"/>
  <c r="H410"/>
  <c r="H406"/>
  <c r="H401"/>
  <c r="H397"/>
  <c r="H387"/>
  <c r="H384"/>
  <c r="H381"/>
  <c r="H478"/>
  <c r="H539"/>
  <c r="H536"/>
  <c r="H533"/>
  <c r="H529"/>
  <c r="H525"/>
  <c r="H519"/>
  <c r="H520"/>
  <c r="H517"/>
  <c r="H514"/>
  <c r="H510"/>
  <c r="H504"/>
  <c r="H499"/>
  <c r="H500"/>
  <c r="H497"/>
  <c r="H492"/>
  <c r="H485"/>
  <c r="H486"/>
  <c r="H483"/>
  <c r="H540"/>
  <c r="H603"/>
  <c r="H596"/>
  <c r="H591"/>
  <c r="H586"/>
  <c r="H580"/>
  <c r="H576"/>
  <c r="H572"/>
  <c r="H568"/>
  <c r="H565"/>
  <c r="H559"/>
  <c r="H556"/>
  <c r="H548"/>
  <c r="H545"/>
  <c r="H608"/>
  <c r="H609"/>
  <c r="D126"/>
  <c r="D129"/>
  <c r="D133"/>
  <c r="D116"/>
  <c r="D113"/>
  <c r="D98"/>
  <c r="D91"/>
  <c r="D88"/>
  <c r="D84"/>
  <c r="D80"/>
  <c r="D63"/>
  <c r="D57"/>
  <c r="D52"/>
  <c r="D48"/>
  <c r="D45"/>
  <c r="D39"/>
  <c r="D36"/>
  <c r="D32"/>
  <c r="D28"/>
  <c r="D21"/>
  <c r="D17"/>
  <c r="D12"/>
  <c r="D134"/>
  <c r="D198"/>
  <c r="D192"/>
  <c r="D189"/>
  <c r="D186"/>
  <c r="D182"/>
  <c r="D179"/>
  <c r="D176"/>
  <c r="D168"/>
  <c r="D164"/>
  <c r="D160"/>
  <c r="D157"/>
  <c r="D152"/>
  <c r="D147"/>
  <c r="D143"/>
  <c r="D139"/>
  <c r="D205"/>
  <c r="D266"/>
  <c r="D269"/>
  <c r="D263"/>
  <c r="D256"/>
  <c r="D223"/>
  <c r="D252"/>
  <c r="D248"/>
  <c r="D245"/>
  <c r="D237"/>
  <c r="D230"/>
  <c r="D218"/>
  <c r="D209"/>
  <c r="D214"/>
  <c r="D270"/>
  <c r="D370"/>
  <c r="D367"/>
  <c r="D364"/>
  <c r="D359"/>
  <c r="D355"/>
  <c r="D347"/>
  <c r="D327"/>
  <c r="D324"/>
  <c r="D320"/>
  <c r="D316"/>
  <c r="D300"/>
  <c r="D296"/>
  <c r="D292"/>
  <c r="D293"/>
  <c r="D289"/>
  <c r="D284"/>
  <c r="D278"/>
  <c r="D275"/>
  <c r="D374"/>
  <c r="D477"/>
  <c r="D474"/>
  <c r="D471"/>
  <c r="D466"/>
  <c r="D459"/>
  <c r="D456"/>
  <c r="D451"/>
  <c r="D445"/>
  <c r="D440"/>
  <c r="D435"/>
  <c r="D429"/>
  <c r="D425"/>
  <c r="D421"/>
  <c r="D418"/>
  <c r="D415"/>
  <c r="D410"/>
  <c r="D406"/>
  <c r="D401"/>
  <c r="D397"/>
  <c r="D387"/>
  <c r="D384"/>
  <c r="D381"/>
  <c r="D478"/>
  <c r="D539"/>
  <c r="D536"/>
  <c r="D533"/>
  <c r="D529"/>
  <c r="D525"/>
  <c r="D520"/>
  <c r="D517"/>
  <c r="D514"/>
  <c r="D510"/>
  <c r="D504"/>
  <c r="D500"/>
  <c r="D497"/>
  <c r="D492"/>
  <c r="D486"/>
  <c r="D483"/>
  <c r="D540"/>
  <c r="D603"/>
  <c r="D596"/>
  <c r="D591"/>
  <c r="D586"/>
  <c r="D580"/>
  <c r="D576"/>
  <c r="D572"/>
  <c r="D568"/>
  <c r="D565"/>
  <c r="D559"/>
  <c r="D556"/>
  <c r="D548"/>
  <c r="D545"/>
  <c r="D608"/>
  <c r="D609"/>
  <c r="J93"/>
  <c r="G65"/>
  <c r="G73"/>
  <c r="J14"/>
  <c r="G336"/>
  <c r="H336"/>
  <c r="G335"/>
  <c r="H339"/>
  <c r="G339"/>
  <c r="G340"/>
  <c r="H340"/>
  <c r="G203"/>
  <c r="G268"/>
  <c r="H203"/>
  <c r="G369"/>
  <c r="H369"/>
  <c r="G243"/>
  <c r="G202"/>
  <c r="H202"/>
  <c r="G201"/>
  <c r="H201"/>
  <c r="G200"/>
  <c r="H200"/>
  <c r="G337"/>
  <c r="G191"/>
  <c r="H191"/>
  <c r="H373"/>
  <c r="G373"/>
  <c r="F373"/>
  <c r="E373"/>
  <c r="D373"/>
  <c r="H370"/>
  <c r="G370"/>
  <c r="F370"/>
  <c r="H367"/>
  <c r="G367"/>
  <c r="F367"/>
  <c r="F364"/>
  <c r="F292"/>
  <c r="G265"/>
  <c r="H265"/>
  <c r="G120"/>
  <c r="H120"/>
  <c r="G87"/>
  <c r="H364"/>
  <c r="G364"/>
  <c r="D204"/>
  <c r="H204"/>
  <c r="G204"/>
  <c r="H198"/>
  <c r="G198"/>
  <c r="F115"/>
  <c r="H189"/>
  <c r="H192"/>
  <c r="G189"/>
  <c r="G192"/>
  <c r="B31" i="2"/>
  <c r="B9"/>
  <c r="B14"/>
  <c r="B20"/>
  <c r="B12"/>
  <c r="B10"/>
  <c r="B32"/>
  <c r="B38"/>
  <c r="D13"/>
  <c r="D23"/>
  <c r="D27"/>
  <c r="D21"/>
  <c r="D25"/>
  <c r="D29"/>
  <c r="D32"/>
  <c r="C32"/>
  <c r="D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B18"/>
  <c r="E18"/>
  <c r="C18"/>
  <c r="E17"/>
  <c r="C17"/>
  <c r="E16"/>
  <c r="C16"/>
  <c r="E15"/>
  <c r="C15"/>
  <c r="E14"/>
  <c r="C14"/>
  <c r="E13"/>
  <c r="C13"/>
  <c r="I12"/>
  <c r="E12"/>
  <c r="C12"/>
  <c r="I11"/>
  <c r="E11"/>
  <c r="C11"/>
  <c r="D10"/>
  <c r="E10"/>
  <c r="C10"/>
</calcChain>
</file>

<file path=xl/comments1.xml><?xml version="1.0" encoding="utf-8"?>
<comments xmlns="http://schemas.openxmlformats.org/spreadsheetml/2006/main">
  <authors>
    <author>Fred</author>
  </authors>
  <commentList>
    <comment ref="D11" authorId="0">
      <text>
        <r>
          <rPr>
            <b/>
            <sz val="8"/>
            <color indexed="81"/>
            <rFont val="Tahoma"/>
            <family val="2"/>
          </rPr>
          <t xml:space="preserve">575.38 due to educational reimbursements from spring 2010 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 xml:space="preserve">ACEMS paid with AAS card 
Printer and supplies from Staples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Fred:</t>
        </r>
        <r>
          <rPr>
            <sz val="8"/>
            <color indexed="81"/>
            <rFont val="Tahoma"/>
            <family val="2"/>
          </rPr>
          <t xml:space="preserve">
entered by KG 9/29
</t>
        </r>
      </text>
    </comment>
  </commentList>
</comments>
</file>

<file path=xl/comments2.xml><?xml version="1.0" encoding="utf-8"?>
<comments xmlns="http://schemas.openxmlformats.org/spreadsheetml/2006/main">
  <authors>
    <author>Fred</author>
  </authors>
  <commentList>
    <comment ref="E44" authorId="0">
      <text>
        <r>
          <rPr>
            <b/>
            <sz val="8"/>
            <color indexed="81"/>
            <rFont val="Tahoma"/>
            <family val="2"/>
          </rPr>
          <t>Reallocation of $280 to 1c
12/4/10
MG</t>
        </r>
      </text>
    </comment>
    <comment ref="E56" authorId="0">
      <text>
        <r>
          <rPr>
            <b/>
            <sz val="8"/>
            <color indexed="81"/>
            <rFont val="Tahoma"/>
            <family val="2"/>
          </rPr>
          <t>Fred:</t>
        </r>
        <r>
          <rPr>
            <sz val="8"/>
            <color indexed="81"/>
            <rFont val="Tahoma"/>
            <family val="2"/>
          </rPr>
          <t xml:space="preserve">
Reallocation of $50 from here to Discretionary Week 1 for lock in
9-17-10 MG</t>
        </r>
      </text>
    </comment>
    <comment ref="F718" authorId="0">
      <text>
        <r>
          <rPr>
            <b/>
            <sz val="8"/>
            <color indexed="81"/>
            <rFont val="Tahoma"/>
            <family val="2"/>
          </rPr>
          <t>$25 from artwork set up fee included here
MG</t>
        </r>
      </text>
    </comment>
  </commentList>
</comments>
</file>

<file path=xl/comments3.xml><?xml version="1.0" encoding="utf-8"?>
<comments xmlns="http://schemas.openxmlformats.org/spreadsheetml/2006/main">
  <authors>
    <author>Fred</author>
  </authors>
  <commentList>
    <comment ref="E115" authorId="0">
      <text>
        <r>
          <rPr>
            <sz val="8"/>
            <color indexed="81"/>
            <rFont val="Tahoma"/>
            <family val="2"/>
          </rPr>
          <t xml:space="preserve">
Added another $50 due to reallocation from BSU intro meeting (Food)
</t>
        </r>
      </text>
    </comment>
    <comment ref="F115" authorId="0">
      <text>
        <r>
          <rPr>
            <sz val="8"/>
            <color indexed="81"/>
            <rFont val="Tahoma"/>
            <family val="2"/>
          </rPr>
          <t xml:space="preserve">
Added another $50 due to reallocation from BSU intro meeting (Food)
</t>
        </r>
      </text>
    </comment>
  </commentList>
</comments>
</file>

<file path=xl/sharedStrings.xml><?xml version="1.0" encoding="utf-8"?>
<sst xmlns="http://schemas.openxmlformats.org/spreadsheetml/2006/main" count="3017" uniqueCount="962">
  <si>
    <t>Murder Ballots</t>
  </si>
  <si>
    <t>Student Workers</t>
  </si>
  <si>
    <t>A Capella Group</t>
  </si>
  <si>
    <t>Russian Club</t>
  </si>
  <si>
    <t>Performers</t>
  </si>
  <si>
    <t>Flights (Delta, Round Trip) for 2</t>
  </si>
  <si>
    <t>Round Trip Shuttle Service from BDL for 2</t>
  </si>
  <si>
    <t>Hotels for 1 Night, for 2</t>
  </si>
  <si>
    <t>Week 9 Total</t>
  </si>
  <si>
    <t>Week 9</t>
  </si>
  <si>
    <t>Food for Voices</t>
  </si>
  <si>
    <t>Food For Film Screening</t>
  </si>
  <si>
    <t>MedLife</t>
  </si>
  <si>
    <t>Bueno Y Sano</t>
  </si>
  <si>
    <t>Muslim Students' Association and Multifaith Council</t>
  </si>
  <si>
    <t>GAP</t>
  </si>
  <si>
    <t>Conference Registration Fee</t>
  </si>
  <si>
    <t>Week 7 (November 2)</t>
  </si>
  <si>
    <t>Power Cords</t>
  </si>
  <si>
    <t>Registration Fee</t>
  </si>
  <si>
    <t>Campus Police Security</t>
  </si>
  <si>
    <t>Mindfulness and Meditation</t>
  </si>
  <si>
    <t>MRC, Vent</t>
  </si>
  <si>
    <t>Amherst Tango Club</t>
  </si>
  <si>
    <t>Band (Pablo Aslan)</t>
  </si>
  <si>
    <t>Travel for the Band</t>
  </si>
  <si>
    <t>Untitled</t>
  </si>
  <si>
    <t>LCD Projector</t>
  </si>
  <si>
    <t>Homecoming Tailgate Food</t>
  </si>
  <si>
    <t>Dinner For Speakers</t>
  </si>
  <si>
    <t>Bathroom Campaign Info</t>
  </si>
  <si>
    <t>Charles Drew</t>
  </si>
  <si>
    <t>Baku's Catering</t>
  </si>
  <si>
    <t>Spanish House and La Casa Theme Houses</t>
  </si>
  <si>
    <t>Catering Supplies</t>
  </si>
  <si>
    <t>Black Students Union</t>
  </si>
  <si>
    <t>Sound, Lighting, Staging</t>
  </si>
  <si>
    <t>Magic Card Club</t>
  </si>
  <si>
    <t>Tournament Entry Fee</t>
  </si>
  <si>
    <t>Week 7 Total</t>
  </si>
  <si>
    <t>Tango Dancers (2)</t>
  </si>
  <si>
    <t>Green Amherst Project</t>
  </si>
  <si>
    <t>Lodging (1 night, 1 room)</t>
  </si>
  <si>
    <t>Publicity  (2 )</t>
  </si>
  <si>
    <t>Zumbye's Performance (Friends of the Mead)</t>
  </si>
  <si>
    <t>Bluestocking's Performance (Evenings at the Mead)</t>
  </si>
  <si>
    <t>Food (Evenings at the Mead)</t>
  </si>
  <si>
    <t>BC Bypass</t>
  </si>
  <si>
    <t>Merrill Renovation</t>
  </si>
  <si>
    <t>Week 8 (November 10)</t>
  </si>
  <si>
    <t>Table Tents and Posters</t>
  </si>
  <si>
    <t>Sugar Jones Cookies</t>
  </si>
  <si>
    <t>Flight and Hotel</t>
  </si>
  <si>
    <t>Morning and Reception Catering</t>
  </si>
  <si>
    <t>Web Designer Salary</t>
  </si>
  <si>
    <t>Shuttlecocks</t>
  </si>
  <si>
    <t>Grips</t>
  </si>
  <si>
    <t>Shuttlecock Bin</t>
  </si>
  <si>
    <t>Amherst AIDS</t>
  </si>
  <si>
    <t>OAS Letter Printouts</t>
  </si>
  <si>
    <t>Food Supplies (Homecoming)</t>
  </si>
  <si>
    <t>Paper Goods (Homecoming)</t>
  </si>
  <si>
    <t>Cooking Supplies (Homecoming)</t>
  </si>
  <si>
    <t>Coffee (Homecoming)</t>
  </si>
  <si>
    <t>Kayaking Fees</t>
  </si>
  <si>
    <t>Week 8 Total</t>
  </si>
  <si>
    <t>Honoarium (Paisley Currah)</t>
  </si>
  <si>
    <t>Honoarium (Amy Ray and Zoe Lewis)</t>
  </si>
  <si>
    <t>Sound and Lighting- Voices</t>
  </si>
  <si>
    <t>Travel (6) - Voices</t>
  </si>
  <si>
    <t>Water for Panelists</t>
  </si>
  <si>
    <t xml:space="preserve">Materials for Informational Campaign </t>
  </si>
  <si>
    <t>Nets</t>
  </si>
  <si>
    <t>Gospel Choir</t>
  </si>
  <si>
    <t>speaker housing</t>
  </si>
  <si>
    <t>Plates, Napkins &amp; cups</t>
  </si>
  <si>
    <t xml:space="preserve">Linens </t>
  </si>
  <si>
    <t>Budgetary Computer System</t>
  </si>
  <si>
    <t>Gas Reimbursement (AAS error)</t>
  </si>
  <si>
    <t>Week 9 (November 16)</t>
  </si>
  <si>
    <t>Hotel Costs</t>
  </si>
  <si>
    <t>Much Ado About Knitting</t>
  </si>
  <si>
    <t>Knitting Needles</t>
  </si>
  <si>
    <t>Yarn</t>
  </si>
  <si>
    <t>Security Bill</t>
  </si>
  <si>
    <t>Mr. Gad's House of Improv</t>
  </si>
  <si>
    <t>Val (Tablecloths, Serving Spoons)</t>
  </si>
  <si>
    <t>Big Y</t>
  </si>
  <si>
    <t>Walmart</t>
  </si>
  <si>
    <t>Student Photographer</t>
  </si>
  <si>
    <t>Lighting Rental/ Installation &amp; Strike</t>
  </si>
  <si>
    <t>Musicians</t>
  </si>
  <si>
    <t>Amherst DIY</t>
  </si>
  <si>
    <t>Jared Paul Honorarium</t>
  </si>
  <si>
    <t>Sole (Tim Holland) Honorarium</t>
  </si>
  <si>
    <t>Denver to BDL Plane Ticket</t>
  </si>
  <si>
    <t>Transportation</t>
  </si>
  <si>
    <t>Tickets for Admission</t>
  </si>
  <si>
    <t>Amherst Cooking Club</t>
  </si>
  <si>
    <t>Cooking Appliances</t>
  </si>
  <si>
    <t>Groceries for Initial Event</t>
  </si>
  <si>
    <t>Weeky Grocery Allowance</t>
  </si>
  <si>
    <t>Multifaith Council</t>
  </si>
  <si>
    <t>Travel</t>
  </si>
  <si>
    <t>5 Unpaid Crew Dues (Hardship)</t>
  </si>
  <si>
    <t>Amherst Japan Club</t>
  </si>
  <si>
    <t>TH!NK</t>
  </si>
  <si>
    <t>Publicity (Five College)</t>
  </si>
  <si>
    <t>Utensils</t>
  </si>
  <si>
    <t>Stickers</t>
  </si>
  <si>
    <t>Tickets</t>
  </si>
  <si>
    <t>Special Topics Course: Urban Issues in Media</t>
  </si>
  <si>
    <t>Amherst Journal Association of the Biological Sciences</t>
  </si>
  <si>
    <t>Food/Drink for Intro Meeting</t>
  </si>
  <si>
    <t>Color Printing</t>
  </si>
  <si>
    <t>Charles Drew Health Professions Society</t>
  </si>
  <si>
    <t>Huge Posters</t>
  </si>
  <si>
    <t>Sugar Jones Cookies and Milk</t>
  </si>
  <si>
    <t>Head of the Fish Entry Fees</t>
  </si>
  <si>
    <t>Random Acts of Kindness</t>
  </si>
  <si>
    <t>Advertising Bursts (Send a Smile and World Kindness Week)</t>
  </si>
  <si>
    <t>General Supplies</t>
  </si>
  <si>
    <t>Send a Smile Candy</t>
  </si>
  <si>
    <t>Helium Balloons and Tanks (4)</t>
  </si>
  <si>
    <t>Hershey's Kisses</t>
  </si>
  <si>
    <t>Val Catering</t>
  </si>
  <si>
    <t>AAS Error: Zip Car</t>
  </si>
  <si>
    <t>Zip Car</t>
  </si>
  <si>
    <t>APO</t>
  </si>
  <si>
    <t>Honoarium</t>
  </si>
  <si>
    <t>10/18/201010:00 PM</t>
  </si>
  <si>
    <t>Lifeguard</t>
  </si>
  <si>
    <t>$200 Rule</t>
  </si>
  <si>
    <t>APU</t>
  </si>
  <si>
    <t>Laura Wells-Tolley (Trent Sheppard)</t>
  </si>
  <si>
    <t>Hotel (3Room, 1 Night)</t>
  </si>
  <si>
    <t>Senate Project DeButts</t>
  </si>
  <si>
    <t>Advertisting</t>
  </si>
  <si>
    <t>Posters Charts</t>
  </si>
  <si>
    <t xml:space="preserve">Scrutiny </t>
  </si>
  <si>
    <t>Stipend</t>
  </si>
  <si>
    <t>Week 6 (October 26)</t>
  </si>
  <si>
    <t>Salsa and Ballroom</t>
  </si>
  <si>
    <t>Dance Instructor Pay</t>
  </si>
  <si>
    <t>General Assembly Conference Fee</t>
  </si>
  <si>
    <t>Latino Cooking Night - Supplies</t>
  </si>
  <si>
    <t>Amherst College Pep Band</t>
  </si>
  <si>
    <t>Music Windows</t>
  </si>
  <si>
    <t>50 Kazoos</t>
  </si>
  <si>
    <t>Conference Fee</t>
  </si>
  <si>
    <t>SASA</t>
  </si>
  <si>
    <t>Eating Utensils and Other Supplies</t>
  </si>
  <si>
    <t>Charles Drew House</t>
  </si>
  <si>
    <t>Performer ( Poet)</t>
  </si>
  <si>
    <t>Chu'Suk Celebration, Food</t>
  </si>
  <si>
    <t>Korean Traditional Games and Prizes</t>
  </si>
  <si>
    <t>Glow Sticks</t>
  </si>
  <si>
    <t>Caving</t>
  </si>
  <si>
    <t>Week 6 Total</t>
  </si>
  <si>
    <t>Week 5 Total</t>
  </si>
  <si>
    <t>Lodging (2 nights, 3 rooms)</t>
  </si>
  <si>
    <t>Subscription to Music Journal (2year subscription)</t>
  </si>
  <si>
    <t xml:space="preserve">Airfare </t>
  </si>
  <si>
    <t>Active Minds Chapter</t>
  </si>
  <si>
    <t>Registration Fees (6)</t>
  </si>
  <si>
    <t>Particiption Fee (6)</t>
  </si>
  <si>
    <t>Week 4 (October 4)</t>
  </si>
  <si>
    <t>Amherst College Model United Nations</t>
  </si>
  <si>
    <t>Pizza and Soda</t>
  </si>
  <si>
    <t>The Amherst College Pep Band</t>
  </si>
  <si>
    <t>Sheet Music</t>
  </si>
  <si>
    <t>Flip Folders</t>
  </si>
  <si>
    <t>Performance Price</t>
  </si>
  <si>
    <t>Coach's Stipend</t>
  </si>
  <si>
    <t>Gas for AAS Van</t>
  </si>
  <si>
    <t>RESULTS</t>
  </si>
  <si>
    <t>Money for Flyers</t>
  </si>
  <si>
    <t>3D: Difference for the Developmentally Disabled</t>
  </si>
  <si>
    <t>Spare Radio</t>
  </si>
  <si>
    <t>Copy Machine</t>
  </si>
  <si>
    <t>Mead Art Museum Docents</t>
  </si>
  <si>
    <t>Zumbyes</t>
  </si>
  <si>
    <t>Amherst Mock Trial</t>
  </si>
  <si>
    <t>Hotel Reservations</t>
  </si>
  <si>
    <t>Speaker Fee</t>
  </si>
  <si>
    <t>Speaker Accomodations</t>
  </si>
  <si>
    <t>Publicity for Speaker</t>
  </si>
  <si>
    <t>Intro Meeting Publicity</t>
  </si>
  <si>
    <t>Publicity (National Coming Out Day)</t>
  </si>
  <si>
    <t>Refreshments (NCOD Film)</t>
  </si>
  <si>
    <t>Refreshments (Friday Teas)</t>
  </si>
  <si>
    <t>DJ (GAP #1)</t>
  </si>
  <si>
    <t>Publicity (GAP #1)</t>
  </si>
  <si>
    <t>Decorations (GAP #1)</t>
  </si>
  <si>
    <t>Security (GAP #1)</t>
  </si>
  <si>
    <t>DJ (GAP #2)</t>
  </si>
  <si>
    <t>Publicity (GAP #2)</t>
  </si>
  <si>
    <t>Decorations (GAP #2)</t>
  </si>
  <si>
    <t>p</t>
  </si>
  <si>
    <t>Security (GAP #2)</t>
  </si>
  <si>
    <t>q</t>
  </si>
  <si>
    <t>Pride Week Publicity</t>
  </si>
  <si>
    <t>r</t>
  </si>
  <si>
    <t>Pride Week Info Posters and Decorations</t>
  </si>
  <si>
    <t>Conference Registration</t>
  </si>
  <si>
    <t>Week 4 Total</t>
  </si>
  <si>
    <t>One Thing Conference</t>
  </si>
  <si>
    <t>Family Weekend Dinner</t>
  </si>
  <si>
    <t>Heartbeatc Coffeehouse</t>
  </si>
  <si>
    <t>Heartbat Advertising</t>
  </si>
  <si>
    <t>Heartbeat Decorations</t>
  </si>
  <si>
    <t>Honorarium (Voices) 8 poets</t>
  </si>
  <si>
    <t>Transfer Student Associations</t>
  </si>
  <si>
    <t>Intro Food</t>
  </si>
  <si>
    <t>Business Expense</t>
  </si>
  <si>
    <t>Table tents/posters (4x throughout semester)</t>
  </si>
  <si>
    <t>Food (3 party pizzas + tip)</t>
  </si>
  <si>
    <t>Cookies and juice</t>
  </si>
  <si>
    <t>Popcorn machine rental &amp; popcorn</t>
  </si>
  <si>
    <t>Candy/small Egg Hunt toys</t>
  </si>
  <si>
    <t xml:space="preserve">Food (3 party pizzas + tip) </t>
  </si>
  <si>
    <t>Organization Cabinet</t>
  </si>
  <si>
    <t>Crayons and markers</t>
  </si>
  <si>
    <t>Coloring books and construction paper</t>
  </si>
  <si>
    <t>First-aid kit</t>
  </si>
  <si>
    <t>Kickball</t>
  </si>
  <si>
    <t>Basketball Pump</t>
  </si>
  <si>
    <t>200 Rule</t>
  </si>
  <si>
    <t>Introductory Food</t>
  </si>
  <si>
    <t>Birdies/Shuttlecocks</t>
  </si>
  <si>
    <t>Coaching Fees for Montgomery Ogden</t>
  </si>
  <si>
    <t>Week 5 (October 19)</t>
  </si>
  <si>
    <t>SJP</t>
  </si>
  <si>
    <t>Advertisements</t>
  </si>
  <si>
    <t>Hotel</t>
  </si>
  <si>
    <t>Interterm Musical 2011: Company</t>
  </si>
  <si>
    <t>Honorarium, Stage Director</t>
  </si>
  <si>
    <t>Honorarium, Associate Music Director</t>
  </si>
  <si>
    <t>Honorarium, Lighting Designer</t>
  </si>
  <si>
    <t>Housing for Stage Director and Lighting Designer</t>
  </si>
  <si>
    <t>Set Building Materials</t>
  </si>
  <si>
    <t>b</t>
    <phoneticPr fontId="2" type="noConversion"/>
  </si>
  <si>
    <t>200 Rule</t>
    <phoneticPr fontId="2" type="noConversion"/>
  </si>
  <si>
    <t>Grow</t>
    <phoneticPr fontId="22" type="noConversion"/>
  </si>
  <si>
    <t>3b</t>
    <phoneticPr fontId="22" type="noConversion"/>
  </si>
  <si>
    <t>ACTIVISM</t>
    <phoneticPr fontId="2" type="noConversion"/>
  </si>
  <si>
    <t>Activism Total</t>
    <phoneticPr fontId="2" type="noConversion"/>
  </si>
  <si>
    <t>Service Total</t>
    <phoneticPr fontId="2" type="noConversion"/>
  </si>
  <si>
    <t>Religious Total</t>
  </si>
  <si>
    <t>Religious Total</t>
    <phoneticPr fontId="2" type="noConversion"/>
  </si>
  <si>
    <t>GRAND TOTAL</t>
    <phoneticPr fontId="2" type="noConversion"/>
  </si>
  <si>
    <t xml:space="preserve">Lulav and Etrog </t>
  </si>
  <si>
    <t xml:space="preserve">MultiFaith Council </t>
  </si>
  <si>
    <t>Event 1</t>
  </si>
  <si>
    <t>Event 2</t>
  </si>
  <si>
    <t>Help Hillel with Food</t>
  </si>
  <si>
    <t xml:space="preserve">Publcity </t>
  </si>
  <si>
    <t>Event 3</t>
  </si>
  <si>
    <t>Event 4</t>
  </si>
  <si>
    <t xml:space="preserve">Amherst Christian Fellowship </t>
  </si>
  <si>
    <t xml:space="preserve">Small Group </t>
  </si>
  <si>
    <t xml:space="preserve">Christian Copyright Licensing International </t>
  </si>
  <si>
    <t xml:space="preserve">The Source Subscription </t>
  </si>
  <si>
    <t xml:space="preserve">4 months </t>
  </si>
  <si>
    <t>Flyers and Table Tents</t>
  </si>
  <si>
    <t>Music</t>
  </si>
  <si>
    <t xml:space="preserve">Sheet Music </t>
  </si>
  <si>
    <t>CD</t>
  </si>
  <si>
    <t xml:space="preserve">Performance Tracks </t>
  </si>
  <si>
    <t xml:space="preserve">Concert </t>
  </si>
  <si>
    <t xml:space="preserve">Posters and Table Tents </t>
  </si>
  <si>
    <t xml:space="preserve">Programs </t>
  </si>
  <si>
    <t xml:space="preserve">Laundry </t>
  </si>
  <si>
    <t xml:space="preserve">Dry Cleaning </t>
  </si>
  <si>
    <t xml:space="preserve">Newman Catholic Students Association  </t>
  </si>
  <si>
    <t xml:space="preserve">Refreshments </t>
  </si>
  <si>
    <t xml:space="preserve">Dry Cleaning of Vestments  </t>
  </si>
  <si>
    <t xml:space="preserve">Eucharistic Hosts </t>
  </si>
  <si>
    <t xml:space="preserve">Eucharistic Wine </t>
  </si>
  <si>
    <t xml:space="preserve">Annual Missals </t>
  </si>
  <si>
    <t xml:space="preserve">Advertising </t>
  </si>
  <si>
    <t xml:space="preserve">Bulletin Printing Costs </t>
  </si>
  <si>
    <t>Technology</t>
  </si>
  <si>
    <t>Shuttle</t>
  </si>
  <si>
    <t>Buses</t>
  </si>
  <si>
    <t>Shuttle Monitors</t>
  </si>
  <si>
    <t>Week 3 (September 28)</t>
  </si>
  <si>
    <t>Net</t>
  </si>
  <si>
    <t>Drew Health Professions Society</t>
  </si>
  <si>
    <t>Sugar Jones</t>
  </si>
  <si>
    <t>ISA and SASA</t>
  </si>
  <si>
    <t>Table Tents and Fliers</t>
  </si>
  <si>
    <t>Cupcakes</t>
  </si>
  <si>
    <t>Food, Napkins, Plates</t>
  </si>
  <si>
    <t>Pre-Business Group</t>
  </si>
  <si>
    <t>Seminar Publications and Ads</t>
  </si>
  <si>
    <t>Gifts</t>
  </si>
  <si>
    <t>Salary for Course Material Designer</t>
  </si>
  <si>
    <t>Amherst Christian Fellowship</t>
  </si>
  <si>
    <t>Lunch</t>
  </si>
  <si>
    <t>Mat Disenfectant Spray</t>
  </si>
  <si>
    <t>Materials and Food (Bonfire)</t>
  </si>
  <si>
    <t>Firewood (Bonfire)</t>
  </si>
  <si>
    <t>Publicity for Bonfire</t>
  </si>
  <si>
    <t>Publicity (God on Campus Tour)</t>
  </si>
  <si>
    <t>Amherst Bughouse and Chess Club</t>
  </si>
  <si>
    <t>Cookies</t>
  </si>
  <si>
    <t>Outdoor Fire Pit</t>
  </si>
  <si>
    <t>Kayaks</t>
  </si>
  <si>
    <t>Campground Fees</t>
  </si>
  <si>
    <t>Week 3 Total</t>
  </si>
  <si>
    <t>Food and Refreshments</t>
  </si>
  <si>
    <t>Chair Rental</t>
  </si>
  <si>
    <t>Security Guards</t>
  </si>
  <si>
    <t xml:space="preserve">Henna </t>
  </si>
  <si>
    <t>200 rule</t>
  </si>
  <si>
    <t>Brent Alderman</t>
  </si>
  <si>
    <t>Ryan Weatherwood</t>
  </si>
  <si>
    <t>Bethany Temple</t>
  </si>
  <si>
    <t>God On Campus</t>
  </si>
  <si>
    <t>Water Polo</t>
  </si>
  <si>
    <t>Ping Pong Paddles &amp;balls</t>
  </si>
  <si>
    <t>Ping Pong Fund for future paddles and balls</t>
  </si>
  <si>
    <t>College Democrats</t>
  </si>
  <si>
    <t xml:space="preserve">Clip Boards </t>
  </si>
  <si>
    <t>Filligar</t>
  </si>
  <si>
    <t>Informational Posters</t>
  </si>
  <si>
    <t>Mock Trial</t>
  </si>
  <si>
    <t>Spring 2010 Budget Correction</t>
  </si>
  <si>
    <t>Total Discretionary Fund</t>
  </si>
  <si>
    <t>Min</t>
  </si>
  <si>
    <t>Max</t>
  </si>
  <si>
    <t>Fall 2010 Operating Budget</t>
  </si>
  <si>
    <t>Club</t>
  </si>
  <si>
    <t>Expenditures</t>
  </si>
  <si>
    <t>Club Sports Total</t>
  </si>
  <si>
    <t>Affinity Total</t>
  </si>
  <si>
    <t>Publications  Total</t>
  </si>
  <si>
    <t>CAP (Publications)</t>
  </si>
  <si>
    <t>Meetings</t>
  </si>
  <si>
    <t xml:space="preserve">1 round </t>
  </si>
  <si>
    <t xml:space="preserve">Green Amherst Project </t>
  </si>
  <si>
    <t xml:space="preserve">Introductory Meeting </t>
  </si>
  <si>
    <t xml:space="preserve">Food </t>
  </si>
  <si>
    <t>Sylvia Earle</t>
  </si>
  <si>
    <t xml:space="preserve">Honorarium </t>
  </si>
  <si>
    <t xml:space="preserve">Transportation </t>
  </si>
  <si>
    <t xml:space="preserve">Lodging </t>
  </si>
  <si>
    <t xml:space="preserve">Volunteer Concert </t>
  </si>
  <si>
    <t xml:space="preserve">Movie Screening </t>
  </si>
  <si>
    <t>Coal Dump</t>
  </si>
  <si>
    <t xml:space="preserve">Coal </t>
  </si>
  <si>
    <t xml:space="preserve">Education </t>
  </si>
  <si>
    <t xml:space="preserve">Eco Rep Programming </t>
  </si>
  <si>
    <t>Lights-Out</t>
  </si>
  <si>
    <t xml:space="preserve">Students Activities Fair </t>
  </si>
  <si>
    <t xml:space="preserve">Poster Printing </t>
  </si>
  <si>
    <t xml:space="preserve">Valentine Awareness Signs </t>
  </si>
  <si>
    <t xml:space="preserve">Food Campaign Publicity </t>
  </si>
  <si>
    <t xml:space="preserve">Amherst College Republicans </t>
  </si>
  <si>
    <t xml:space="preserve">Anne Korin </t>
  </si>
  <si>
    <t>Advertising</t>
  </si>
  <si>
    <t>Speaker</t>
  </si>
  <si>
    <t>Honorarium</t>
  </si>
  <si>
    <t>Introductory Event</t>
  </si>
  <si>
    <t>Conservative Movie Series</t>
  </si>
  <si>
    <t>Election Night Party</t>
  </si>
  <si>
    <t>Pro-Life Week</t>
  </si>
  <si>
    <t>Advertising &amp; Decorations</t>
  </si>
  <si>
    <t>Global Rights of Women (GROW)</t>
  </si>
  <si>
    <t>Fall Ball</t>
  </si>
  <si>
    <t>Testimonials</t>
  </si>
  <si>
    <t>Movie Screening</t>
  </si>
  <si>
    <t>Food (Fresh Side)</t>
  </si>
  <si>
    <t xml:space="preserve">3 rounds of publicity </t>
  </si>
  <si>
    <t>Think</t>
  </si>
  <si>
    <t>Main Documentary</t>
  </si>
  <si>
    <t>Movie Screening I</t>
  </si>
  <si>
    <t xml:space="preserve">Salary </t>
  </si>
  <si>
    <t xml:space="preserve">Flowers </t>
  </si>
  <si>
    <t xml:space="preserve">Travel </t>
  </si>
  <si>
    <t>Amherst College Democrats</t>
  </si>
  <si>
    <t xml:space="preserve">Delaware Campaign Trip </t>
  </si>
  <si>
    <t xml:space="preserve">New Hampshire Campaign Trip </t>
  </si>
  <si>
    <t>Progressive Film Series</t>
  </si>
  <si>
    <t>200 Rule</t>
    <phoneticPr fontId="2" type="noConversion"/>
  </si>
  <si>
    <t>Democrats</t>
    <phoneticPr fontId="22" type="noConversion"/>
  </si>
  <si>
    <t>4a</t>
    <phoneticPr fontId="22" type="noConversion"/>
  </si>
  <si>
    <r>
      <t>Treasurer, Acted Upon:</t>
    </r>
    <r>
      <rPr>
        <sz val="12"/>
        <rFont val="Calibri"/>
        <family val="2"/>
      </rPr>
      <t xml:space="preserve"> Katrina Gonzales '12</t>
    </r>
  </si>
  <si>
    <t>6. Archives Project</t>
  </si>
  <si>
    <t>4 rounds</t>
  </si>
  <si>
    <t xml:space="preserve">Amherst Garden Club </t>
  </si>
  <si>
    <t>Gardening Supplies</t>
  </si>
  <si>
    <t>Seeds</t>
  </si>
  <si>
    <t xml:space="preserve">Miscellaneous </t>
  </si>
  <si>
    <t>Metal Drums</t>
  </si>
  <si>
    <t>Gravel Bed for Hoophouse</t>
  </si>
  <si>
    <t>Religious</t>
  </si>
  <si>
    <t>Hillel</t>
  </si>
  <si>
    <t>Shabbat</t>
  </si>
  <si>
    <t>TYPO Shabbat</t>
  </si>
  <si>
    <t>Interfaith Shabbat</t>
  </si>
  <si>
    <t>2b</t>
    <phoneticPr fontId="22" type="noConversion"/>
  </si>
  <si>
    <t>3b</t>
    <phoneticPr fontId="22" type="noConversion"/>
  </si>
  <si>
    <t>4b</t>
    <phoneticPr fontId="22" type="noConversion"/>
  </si>
  <si>
    <t>Tabled</t>
    <phoneticPr fontId="2" type="noConversion"/>
  </si>
  <si>
    <t>200 Rule</t>
    <phoneticPr fontId="2" type="noConversion"/>
  </si>
  <si>
    <t>CAO</t>
    <phoneticPr fontId="22" type="noConversion"/>
  </si>
  <si>
    <t>3c, 4b</t>
    <phoneticPr fontId="22" type="noConversion"/>
  </si>
  <si>
    <t>Table</t>
    <phoneticPr fontId="2" type="noConversion"/>
  </si>
  <si>
    <t>Dinner for 60</t>
    <phoneticPr fontId="2" type="noConversion"/>
  </si>
  <si>
    <t>Publicity</t>
    <phoneticPr fontId="2" type="noConversion"/>
  </si>
  <si>
    <t>Food</t>
    <phoneticPr fontId="2" type="noConversion"/>
  </si>
  <si>
    <t xml:space="preserve">Publicity </t>
    <phoneticPr fontId="2" type="noConversion"/>
  </si>
  <si>
    <t>Food</t>
    <phoneticPr fontId="2" type="noConversion"/>
  </si>
  <si>
    <t>Mock Trial</t>
    <phoneticPr fontId="2" type="noConversion"/>
  </si>
  <si>
    <t>Swing and Ballroom</t>
    <phoneticPr fontId="22" type="noConversion"/>
  </si>
  <si>
    <t>1b</t>
    <phoneticPr fontId="22" type="noConversion"/>
  </si>
  <si>
    <t>c</t>
    <phoneticPr fontId="2" type="noConversion"/>
  </si>
  <si>
    <t>Anime Purchases</t>
  </si>
  <si>
    <t>Manga/Magazine Purchases</t>
  </si>
  <si>
    <t>Amherst Dance</t>
  </si>
  <si>
    <t>Auditions</t>
  </si>
  <si>
    <t>Recital</t>
  </si>
  <si>
    <t>Programs</t>
  </si>
  <si>
    <t>Videotaping</t>
  </si>
  <si>
    <t>Lighting</t>
  </si>
  <si>
    <t xml:space="preserve">Sound </t>
  </si>
  <si>
    <t>Stage Manager</t>
  </si>
  <si>
    <t>Amherst Debate Society</t>
  </si>
  <si>
    <t>Tournaments</t>
  </si>
  <si>
    <t>APDA Tournament Fees</t>
  </si>
  <si>
    <t>Policy Tournament Fees</t>
  </si>
  <si>
    <t>Judges Fee for Tournament</t>
  </si>
  <si>
    <t>Ballot Printing for Tournament</t>
  </si>
  <si>
    <t>Salary</t>
  </si>
  <si>
    <t>APDA Dues</t>
  </si>
  <si>
    <t>Historical European Martial Arts Club</t>
  </si>
  <si>
    <t>Instruction</t>
  </si>
  <si>
    <t>Instruction Fee</t>
  </si>
  <si>
    <t>Wooden Practice Swords</t>
  </si>
  <si>
    <t>Steel Swords w/ New Safety Features</t>
  </si>
  <si>
    <t>Portable Equipment Bags</t>
  </si>
  <si>
    <t>Investment Club</t>
  </si>
  <si>
    <t>Binders</t>
  </si>
  <si>
    <t>Case Copies</t>
  </si>
  <si>
    <t>Case Updates</t>
  </si>
  <si>
    <t>Mock Trial National Championship Video</t>
  </si>
  <si>
    <t>Tournament and Registration</t>
  </si>
  <si>
    <t>American Mock Trial Association Reg Fee</t>
  </si>
  <si>
    <t>AMTA Regionals Fee</t>
  </si>
  <si>
    <t>Opening Rounf Fee</t>
  </si>
  <si>
    <t>Tentative First Tournament Fee</t>
  </si>
  <si>
    <t>Tentative Second Tournament Fee</t>
  </si>
  <si>
    <t>Swing and Ballroom</t>
  </si>
  <si>
    <t>End of Semester Dance</t>
  </si>
  <si>
    <t xml:space="preserve">Band </t>
  </si>
  <si>
    <t>Lessons</t>
  </si>
  <si>
    <t>20 Latin Lessons</t>
  </si>
  <si>
    <t>10 Swing Lessons</t>
  </si>
  <si>
    <t>Table Tents</t>
  </si>
  <si>
    <t>Association of Amherst Students</t>
  </si>
  <si>
    <r>
      <t>Treasurer, Prepared By:</t>
    </r>
    <r>
      <rPr>
        <sz val="12"/>
        <rFont val="Calibri"/>
        <family val="2"/>
      </rPr>
      <t xml:space="preserve"> Philip Arthur Johnson '11</t>
    </r>
  </si>
  <si>
    <t xml:space="preserve">Muslim Students Association </t>
  </si>
  <si>
    <t>Introductory  Meeting (9/4/10)</t>
  </si>
  <si>
    <t xml:space="preserve">Halai Cooking Nights in Cadigan </t>
  </si>
  <si>
    <t xml:space="preserve">Food (Twice a month)($100 each dinner)  </t>
  </si>
  <si>
    <t xml:space="preserve">La Causa/ MSA Movie Screening </t>
  </si>
  <si>
    <t xml:space="preserve">Movie </t>
  </si>
  <si>
    <t>Event 4 (Unkown Speaker)</t>
  </si>
  <si>
    <t>Bi-Semester</t>
  </si>
  <si>
    <t xml:space="preserve">R. Janae Pitts-Murdock </t>
  </si>
  <si>
    <t xml:space="preserve">Tim Jones </t>
  </si>
  <si>
    <t xml:space="preserve">Stipend </t>
  </si>
  <si>
    <t xml:space="preserve">Organist </t>
  </si>
  <si>
    <t>4. Special Projects Fund</t>
  </si>
  <si>
    <t>Newspaper Readership Program</t>
  </si>
  <si>
    <t>TYPO-X, 50% of cost</t>
  </si>
  <si>
    <t>5. Treasurer's Appropriative Distribution Fund (T.A.D.F.)</t>
  </si>
  <si>
    <t>Fine Arts</t>
  </si>
  <si>
    <t>Olio</t>
  </si>
  <si>
    <t>Program Board</t>
  </si>
  <si>
    <t>PVTA</t>
  </si>
  <si>
    <t>Social Council</t>
  </si>
  <si>
    <t>FLICS</t>
  </si>
  <si>
    <t>Food</t>
    <phoneticPr fontId="2" type="noConversion"/>
  </si>
  <si>
    <t>Republicans</t>
    <phoneticPr fontId="22" type="noConversion"/>
  </si>
  <si>
    <t>Food</t>
    <phoneticPr fontId="2" type="noConversion"/>
  </si>
  <si>
    <t>5a</t>
    <phoneticPr fontId="22" type="noConversion"/>
  </si>
  <si>
    <t>Publicity</t>
    <phoneticPr fontId="2" type="noConversion"/>
  </si>
  <si>
    <t>b</t>
    <phoneticPr fontId="2" type="noConversion"/>
  </si>
  <si>
    <t>Table</t>
    <phoneticPr fontId="2" type="noConversion"/>
  </si>
  <si>
    <t xml:space="preserve">Bathroom Campaign </t>
    <phoneticPr fontId="2" type="noConversion"/>
  </si>
  <si>
    <t>a</t>
    <phoneticPr fontId="2" type="noConversion"/>
  </si>
  <si>
    <t>Table</t>
    <phoneticPr fontId="2" type="noConversion"/>
  </si>
  <si>
    <t>Table</t>
    <phoneticPr fontId="2" type="noConversion"/>
  </si>
  <si>
    <t>Films</t>
    <phoneticPr fontId="2" type="noConversion"/>
  </si>
  <si>
    <t>b</t>
    <phoneticPr fontId="2" type="noConversion"/>
  </si>
  <si>
    <t>Publicity</t>
    <phoneticPr fontId="2" type="noConversion"/>
  </si>
  <si>
    <t>THiNK</t>
    <phoneticPr fontId="22" type="noConversion"/>
  </si>
  <si>
    <t>Black Student Union</t>
  </si>
  <si>
    <t>j</t>
  </si>
  <si>
    <t>Jazz Band</t>
  </si>
  <si>
    <t>Val Fee</t>
  </si>
  <si>
    <t>Black Solidarity Conference</t>
  </si>
  <si>
    <t>Kwanzaa</t>
  </si>
  <si>
    <t>Catering</t>
  </si>
  <si>
    <t xml:space="preserve">BSU Parties </t>
  </si>
  <si>
    <t>DJ (3)</t>
  </si>
  <si>
    <t>Town Officer (3)</t>
  </si>
  <si>
    <t>Publicity (3)</t>
  </si>
  <si>
    <t>China Awareness Organization</t>
  </si>
  <si>
    <t>Harlem Renaissance</t>
  </si>
  <si>
    <t>Refreshments</t>
  </si>
  <si>
    <t>Mid Autumn Festival Celebration</t>
  </si>
  <si>
    <t>Food and Drinks</t>
  </si>
  <si>
    <t>Decorations</t>
  </si>
  <si>
    <t>National Day Exhibition of Contemporary Chinese Socioeconomic Issues</t>
  </si>
  <si>
    <t>Cardboard, Decorations, etc</t>
  </si>
  <si>
    <t>Printing Expenses</t>
  </si>
  <si>
    <t>Cookie reception</t>
  </si>
  <si>
    <t>Chinese Movie Series (4)</t>
  </si>
  <si>
    <t>Movie Rentals</t>
  </si>
  <si>
    <t>Posters</t>
  </si>
  <si>
    <t>Cooking Night</t>
  </si>
  <si>
    <t>ISA</t>
  </si>
  <si>
    <t>ISA Semester Party</t>
  </si>
  <si>
    <t>DJ Fee</t>
  </si>
  <si>
    <t>Speakers (Renting from Art Steele)</t>
  </si>
  <si>
    <t>Multicultural Dinner and Performance Night</t>
  </si>
  <si>
    <t>Raw Food</t>
  </si>
  <si>
    <t>Drinks</t>
  </si>
  <si>
    <t>Sound and Light</t>
  </si>
  <si>
    <t>La Causa</t>
  </si>
  <si>
    <t>First Meeting</t>
  </si>
  <si>
    <t>Snacks</t>
  </si>
  <si>
    <t>Latino Cooking Nights (2)</t>
  </si>
  <si>
    <t>Dinner for 60 (2)</t>
  </si>
  <si>
    <t>Refreshments (2)</t>
  </si>
  <si>
    <t xml:space="preserve">Supplies </t>
  </si>
  <si>
    <t>Latino Movie Night</t>
  </si>
  <si>
    <t>Mes Latino</t>
  </si>
  <si>
    <t>House Party</t>
  </si>
  <si>
    <t>Latin DJ for Four Hours</t>
  </si>
  <si>
    <t>Security</t>
  </si>
  <si>
    <t>Holiday Posada</t>
  </si>
  <si>
    <t>Latin Jazz Band</t>
  </si>
  <si>
    <t>Pinatas and Candy</t>
  </si>
  <si>
    <t>13th Annual Voices for the Voiceless</t>
  </si>
  <si>
    <t>Movie Screening II</t>
  </si>
  <si>
    <t>Taking Action Against Domestic Abuse</t>
  </si>
  <si>
    <t xml:space="preserve">Passive Programming </t>
  </si>
  <si>
    <t>Film Series</t>
  </si>
  <si>
    <t>Service</t>
  </si>
  <si>
    <t>Fun Police</t>
  </si>
  <si>
    <t xml:space="preserve">Clothing </t>
  </si>
  <si>
    <t xml:space="preserve">Uniforms </t>
  </si>
  <si>
    <t>Megaphone Batteries</t>
  </si>
  <si>
    <t>Change for Change</t>
  </si>
  <si>
    <t>Cups</t>
  </si>
  <si>
    <t>1700 cups .45 each</t>
  </si>
  <si>
    <t xml:space="preserve">Shipping </t>
  </si>
  <si>
    <t>Shipping and Handling Taxes</t>
  </si>
  <si>
    <t xml:space="preserve">Licensing Fee </t>
  </si>
  <si>
    <t xml:space="preserve">Table Tents </t>
  </si>
  <si>
    <t>Recreational</t>
  </si>
  <si>
    <t>ACOC</t>
  </si>
  <si>
    <t>Fall Festival</t>
  </si>
  <si>
    <t>Slackline Kit</t>
  </si>
  <si>
    <t>Pumpkins</t>
  </si>
  <si>
    <t>Cider</t>
  </si>
  <si>
    <t>Apples</t>
  </si>
  <si>
    <t>Donuts</t>
  </si>
  <si>
    <t>Spices</t>
  </si>
  <si>
    <t>Pies</t>
  </si>
  <si>
    <t>Spoons</t>
  </si>
  <si>
    <t>Pumpkin Paddle</t>
  </si>
  <si>
    <t>Canoe Rental</t>
  </si>
  <si>
    <t>Salaries</t>
  </si>
  <si>
    <t>Outdoor Coordinator Salary</t>
  </si>
  <si>
    <t xml:space="preserve">Rosh Hashanah </t>
  </si>
  <si>
    <t>Rosh Hashanah Dinners</t>
  </si>
  <si>
    <t xml:space="preserve">Rosh Hashanah Reception </t>
  </si>
  <si>
    <t xml:space="preserve">Yom Kippur </t>
  </si>
  <si>
    <t>Pre-fast meal</t>
  </si>
  <si>
    <t>Breaking of Fast</t>
  </si>
  <si>
    <t>Rabbinical student</t>
  </si>
  <si>
    <t xml:space="preserve">Chanukah </t>
  </si>
  <si>
    <t>Movie Nights</t>
  </si>
  <si>
    <t>Juice</t>
  </si>
  <si>
    <t>Kosher</t>
  </si>
  <si>
    <t>Amherst Anime Club</t>
  </si>
  <si>
    <t>Flyers</t>
  </si>
  <si>
    <t>Purchases</t>
  </si>
  <si>
    <t>Total for Amherst Show Fees</t>
  </si>
  <si>
    <t>Amherst Women's Rugby Club</t>
  </si>
  <si>
    <t>First Aid Supplies</t>
  </si>
  <si>
    <t>Dues and Entry Fees</t>
  </si>
  <si>
    <t>CIPP Dues</t>
  </si>
  <si>
    <t>Beantown Tournament</t>
  </si>
  <si>
    <t>Pucks</t>
  </si>
  <si>
    <t>Stick Tape</t>
  </si>
  <si>
    <t>Skate Laces</t>
  </si>
  <si>
    <t>Skate Guards</t>
  </si>
  <si>
    <t>NEIFC Dues</t>
  </si>
  <si>
    <t>NEWIFC Dues</t>
  </si>
  <si>
    <t>The Big One Entry Fees</t>
  </si>
  <si>
    <t>USFA Entry Fees</t>
  </si>
  <si>
    <t>USFA Membership (5 Fencers)</t>
  </si>
  <si>
    <t>Training Weapons</t>
  </si>
  <si>
    <t>Publication Printing (500 copies, color)</t>
  </si>
  <si>
    <t>Recruiting Meeting</t>
  </si>
  <si>
    <t>Launch Party for Magazine</t>
  </si>
  <si>
    <t>Two rounds</t>
  </si>
  <si>
    <t>Printing Magazines (Tigerpress)</t>
  </si>
  <si>
    <t>Printing Costs</t>
  </si>
  <si>
    <t>Head Coach (Bill Stewart)</t>
  </si>
  <si>
    <t>Assistant Coach (Monty Ogden)</t>
  </si>
  <si>
    <t>Tournament Registration Fees</t>
  </si>
  <si>
    <t>Spring Housing</t>
  </si>
  <si>
    <t>Sailing Club</t>
  </si>
  <si>
    <t>Regatta Dues</t>
  </si>
  <si>
    <t>NEISA Dues</t>
  </si>
  <si>
    <t>ICSA Dues</t>
  </si>
  <si>
    <t>Belchertown Port-a-Potty</t>
  </si>
  <si>
    <t>Belchertown Lake Fees</t>
  </si>
  <si>
    <t>Coach Salary</t>
  </si>
  <si>
    <t>Boat Trailer Insurance</t>
  </si>
  <si>
    <t>Sailing Lines and Boat Hardware</t>
  </si>
  <si>
    <t>Regatta Food</t>
  </si>
  <si>
    <t>Gas Money</t>
  </si>
  <si>
    <t>Water Polo (Men's and Women's)</t>
  </si>
  <si>
    <t>Dues</t>
  </si>
  <si>
    <t>League Dues</t>
  </si>
  <si>
    <t>Competition Caps</t>
  </si>
  <si>
    <t>Competition Suits</t>
  </si>
  <si>
    <t>Two (2) Weight Belts for Goalie Training</t>
  </si>
  <si>
    <t>Tournament Fees</t>
  </si>
  <si>
    <t>The Indicator</t>
  </si>
  <si>
    <t>Publication Printing</t>
  </si>
  <si>
    <r>
      <t xml:space="preserve">Checks Clerk: </t>
    </r>
    <r>
      <rPr>
        <sz val="12"/>
        <rFont val="Calibri"/>
        <family val="2"/>
      </rPr>
      <t>Millicent Gordon '13</t>
    </r>
  </si>
  <si>
    <r>
      <t xml:space="preserve">Budgetary Clerk: </t>
    </r>
    <r>
      <rPr>
        <sz val="12"/>
        <rFont val="Calibri"/>
        <family val="2"/>
      </rPr>
      <t>Christopher Morrison '12</t>
    </r>
  </si>
  <si>
    <t>Line Item</t>
  </si>
  <si>
    <t>Amount</t>
  </si>
  <si>
    <t>Percent</t>
  </si>
  <si>
    <t>Projected Spring 2010 Operating Budget</t>
  </si>
  <si>
    <t>Master General Fund</t>
  </si>
  <si>
    <t>ACEMS</t>
  </si>
  <si>
    <t>AAS</t>
  </si>
  <si>
    <t>1. Senate Fund</t>
  </si>
  <si>
    <t>2. Administrative</t>
  </si>
  <si>
    <t>Copies</t>
  </si>
  <si>
    <t>Bills</t>
  </si>
  <si>
    <t>Auditor's Fees (from reserves)</t>
  </si>
  <si>
    <t>3. Salaries</t>
  </si>
  <si>
    <t>Ageless</t>
  </si>
  <si>
    <t>Singing Supper #1</t>
  </si>
  <si>
    <t>Pasta E Basta</t>
  </si>
  <si>
    <t>Singing Supper #2</t>
  </si>
  <si>
    <t>Facilities</t>
  </si>
  <si>
    <t>The Art of Aging Workshops (8)</t>
  </si>
  <si>
    <t>Publicity (8)</t>
  </si>
  <si>
    <t>Paper</t>
  </si>
  <si>
    <t>Pencils</t>
  </si>
  <si>
    <t>Charcoal</t>
  </si>
  <si>
    <t>Acrylic Paint</t>
  </si>
  <si>
    <t>Watercolor</t>
  </si>
  <si>
    <t>Brushes</t>
  </si>
  <si>
    <t>Initial Club Allocation (Club Budgets)</t>
  </si>
  <si>
    <t>Discretionary Fund</t>
  </si>
  <si>
    <t>Fall 2009 Initial Club Allocation Carryover</t>
  </si>
  <si>
    <t xml:space="preserve"> </t>
  </si>
  <si>
    <t>Fall 2009 Discretionary Fund Carryover</t>
  </si>
  <si>
    <t>Fall 2009 Master General Carryover</t>
  </si>
  <si>
    <t>Total Fall 2009 Carryover</t>
  </si>
  <si>
    <t>Popcorn/Movie Snacks</t>
  </si>
  <si>
    <t>Photocopies/Fliers</t>
  </si>
  <si>
    <t>Women's Ultimate Frisbee</t>
  </si>
  <si>
    <t>Registration Fees</t>
  </si>
  <si>
    <t>Club Sports</t>
  </si>
  <si>
    <t>Operating Expenses</t>
  </si>
  <si>
    <t>Van Rentals</t>
  </si>
  <si>
    <t>Boathouse Lease</t>
  </si>
  <si>
    <t>Head Coach Salary</t>
  </si>
  <si>
    <t>Assistant Coach Salary</t>
  </si>
  <si>
    <t>Amherst Ballroom Team</t>
  </si>
  <si>
    <t>Intro Meeting</t>
  </si>
  <si>
    <t>Coaching</t>
  </si>
  <si>
    <t>Dance Costumes</t>
  </si>
  <si>
    <t>Amherst Club Volleyball</t>
  </si>
  <si>
    <t>Equipment</t>
  </si>
  <si>
    <t>Trainers</t>
  </si>
  <si>
    <t>Amherst Mixed Martial Arts Organization</t>
  </si>
  <si>
    <t>Publications</t>
  </si>
  <si>
    <t>The Amherst Element</t>
  </si>
  <si>
    <t>Circus</t>
  </si>
  <si>
    <t>Thoughts of Amherst</t>
  </si>
  <si>
    <t>Introductory  Meeting</t>
  </si>
  <si>
    <t xml:space="preserve">Publicity </t>
  </si>
  <si>
    <t>Description</t>
  </si>
  <si>
    <t>Requested</t>
  </si>
  <si>
    <t>Recommended</t>
  </si>
  <si>
    <t>Allocated</t>
  </si>
  <si>
    <t>Spent</t>
  </si>
  <si>
    <t>Remaining</t>
  </si>
  <si>
    <t>% Remaining</t>
  </si>
  <si>
    <t>a</t>
  </si>
  <si>
    <t>Printing</t>
  </si>
  <si>
    <t>Publicity</t>
  </si>
  <si>
    <t>b</t>
  </si>
  <si>
    <t>c</t>
  </si>
  <si>
    <t>Food</t>
  </si>
  <si>
    <t>d</t>
  </si>
  <si>
    <t>e</t>
  </si>
  <si>
    <t>f</t>
  </si>
  <si>
    <t>g</t>
  </si>
  <si>
    <t>h</t>
  </si>
  <si>
    <t>Total</t>
  </si>
  <si>
    <t>% Received</t>
  </si>
  <si>
    <t>% of Total Budget</t>
  </si>
  <si>
    <t>Amherst Riding Club</t>
  </si>
  <si>
    <t>Coach's Fee</t>
  </si>
  <si>
    <t>Lesson Subsidy</t>
  </si>
  <si>
    <t>Zip Cars</t>
  </si>
  <si>
    <t>Intercollegiate Show Entry Fees</t>
  </si>
  <si>
    <t>Fencing Club</t>
  </si>
  <si>
    <t>Blades</t>
  </si>
  <si>
    <t>Body Cords</t>
  </si>
  <si>
    <t>Foil Parts</t>
  </si>
  <si>
    <t>Epee Parts</t>
  </si>
  <si>
    <t>Sabre Parts</t>
  </si>
  <si>
    <t>Scoring Equipment</t>
  </si>
  <si>
    <t>Shipping Costs</t>
  </si>
  <si>
    <t>Men's Ultimate Frisbee</t>
  </si>
  <si>
    <t>Home Tournament</t>
  </si>
  <si>
    <t>Uniforms</t>
  </si>
  <si>
    <t>Honorariums for 8 Poets</t>
  </si>
  <si>
    <t>Professional Sound and Lighting</t>
  </si>
  <si>
    <t>Appetizers and Drinks</t>
  </si>
  <si>
    <t>Lunch for Poets/Artists</t>
  </si>
  <si>
    <t>Dia De Los Muertos</t>
  </si>
  <si>
    <t>Politically Conscious Display Items</t>
  </si>
  <si>
    <t>Ingredients for Traditional Bread</t>
  </si>
  <si>
    <t>South Asian Students Association</t>
  </si>
  <si>
    <t>Ingredients</t>
  </si>
  <si>
    <t>Paper Goods</t>
  </si>
  <si>
    <t>Party</t>
  </si>
  <si>
    <t>DJ</t>
  </si>
  <si>
    <t>Cultural Show</t>
  </si>
  <si>
    <t>Costumes</t>
  </si>
  <si>
    <t>Riding Gloves (Knuckle/Wrist Protection)</t>
  </si>
  <si>
    <t>Coach's Salary</t>
  </si>
  <si>
    <t>Three New Volleyballs</t>
  </si>
  <si>
    <t>Pole Attachments for Net System</t>
  </si>
  <si>
    <t>NECVL Team Dues for 2010-2011 Season</t>
  </si>
  <si>
    <t>Amherst College Rowing Association</t>
  </si>
  <si>
    <t>Pockock Skegs</t>
  </si>
  <si>
    <t>Pockock Rudders</t>
  </si>
  <si>
    <t>Regatta Entry Fees</t>
  </si>
  <si>
    <t>Fees</t>
  </si>
  <si>
    <t>Indoor Climbing Fees</t>
  </si>
  <si>
    <t>Supplies</t>
  </si>
  <si>
    <t>Trip Food</t>
  </si>
  <si>
    <t>Campfire Food</t>
  </si>
  <si>
    <t>2 Harnesses</t>
  </si>
  <si>
    <t>Climbing Shoes (1)</t>
  </si>
  <si>
    <t>Publicity for Trips</t>
  </si>
  <si>
    <t>Amherst Argentine Tango Club</t>
  </si>
  <si>
    <t>Instructor Fee</t>
  </si>
  <si>
    <t>Show Fees</t>
  </si>
  <si>
    <t>Food for Intro Meeting</t>
  </si>
  <si>
    <t>Band</t>
  </si>
  <si>
    <t>Ping Pong Club</t>
  </si>
  <si>
    <t>Paddles</t>
  </si>
  <si>
    <t>Ping Pong Balls</t>
  </si>
  <si>
    <t>Tire Levers(3)</t>
  </si>
  <si>
    <t>Tires (6)</t>
  </si>
  <si>
    <t>Clipless Peddles (3)</t>
  </si>
  <si>
    <t>Bike Fitting (5)</t>
  </si>
  <si>
    <t>AMBIR</t>
  </si>
  <si>
    <t>Amnesty Int.</t>
  </si>
  <si>
    <t>Amnesty Int. USA Registration</t>
  </si>
  <si>
    <t>Stationary</t>
  </si>
  <si>
    <t>Posters (Posterboards, Glue)</t>
  </si>
  <si>
    <t>Postage Costs</t>
  </si>
  <si>
    <t>Petitions (Banned Books Week)</t>
  </si>
  <si>
    <t>Publicity (Banned Books Week)</t>
  </si>
  <si>
    <t>Stationary (Banned Books Week)</t>
  </si>
  <si>
    <t>Honorarium (Lecture)</t>
  </si>
  <si>
    <t>Lodging (Lecture)</t>
  </si>
  <si>
    <t>Table Tents and Flyers(Lecture)</t>
  </si>
  <si>
    <t>Reception Food (Lecture)</t>
  </si>
  <si>
    <t>Travel Expenses (Lecture)</t>
  </si>
  <si>
    <t>Amherst Public Health Collaborative</t>
  </si>
  <si>
    <t>Athletes Bible Study</t>
  </si>
  <si>
    <t>Intro Meeting Food</t>
  </si>
  <si>
    <t>ACRA</t>
  </si>
  <si>
    <t>Amherst Student</t>
  </si>
  <si>
    <t>Sept 15, 22,29 Issues</t>
  </si>
  <si>
    <t>Oct 6,20,27 Issues</t>
  </si>
  <si>
    <t>Nov 3rd Issue</t>
  </si>
  <si>
    <t>Nov 12th Issue</t>
  </si>
  <si>
    <t>Nov 12, Dec 1,8 Issue</t>
  </si>
  <si>
    <t>WAMH</t>
  </si>
  <si>
    <t xml:space="preserve">Station Log </t>
  </si>
  <si>
    <t>Office Supplies</t>
  </si>
  <si>
    <t>Stamps</t>
  </si>
  <si>
    <t>Microsoft Word</t>
  </si>
  <si>
    <t>Transmitter Tower Electricity</t>
  </si>
  <si>
    <t>Office Telephone</t>
  </si>
  <si>
    <t>Transmitter Telephone</t>
  </si>
  <si>
    <t>BMI, ASCAP, SESAC</t>
  </si>
  <si>
    <t>Informational Meeting Publicity</t>
  </si>
  <si>
    <t>Informational Meeting Food</t>
  </si>
  <si>
    <t>General Maintenance</t>
  </si>
  <si>
    <t>New Music</t>
  </si>
  <si>
    <t>BSU</t>
  </si>
  <si>
    <t>Issue #1</t>
  </si>
  <si>
    <t>Issue #2</t>
  </si>
  <si>
    <t>Issue #3</t>
  </si>
  <si>
    <t>Issue #4</t>
  </si>
  <si>
    <t>Issue #5</t>
  </si>
  <si>
    <t>Subscriptions</t>
  </si>
  <si>
    <t>Postage for Issue #1</t>
  </si>
  <si>
    <t>Postage for Issue #2</t>
  </si>
  <si>
    <t>Postage for Issue #3</t>
  </si>
  <si>
    <t>Postage for Issue #4</t>
  </si>
  <si>
    <t>Postage for Issue #5</t>
  </si>
  <si>
    <t>Envelopes</t>
  </si>
  <si>
    <t>Introductory Meeting</t>
  </si>
  <si>
    <t>Frame</t>
  </si>
  <si>
    <t>Publicity (Two Rounds)</t>
  </si>
  <si>
    <t>Magazine Printing</t>
  </si>
  <si>
    <t>Affinity</t>
  </si>
  <si>
    <t>Head of the Charles (Oct 23-24)</t>
  </si>
  <si>
    <t>NH Championship Regatta (early October)</t>
  </si>
  <si>
    <t>Head of the Fish Regatta (Oct 30-31)</t>
  </si>
  <si>
    <t>Brazilian Jiu Jitsu Instructor</t>
  </si>
  <si>
    <t>Membership Dues</t>
  </si>
  <si>
    <t>Big Y Food</t>
    <phoneticPr fontId="2" type="noConversion"/>
  </si>
  <si>
    <t>Walmart Food/Paper Goods</t>
    <phoneticPr fontId="2" type="noConversion"/>
  </si>
  <si>
    <t>200 Rule</t>
    <phoneticPr fontId="2" type="noConversion"/>
  </si>
  <si>
    <t>Scissors, Tape, Glue</t>
  </si>
  <si>
    <t>Film</t>
  </si>
  <si>
    <t>Digital Prints</t>
  </si>
  <si>
    <t>The Art of Aging Exhibition</t>
  </si>
  <si>
    <t>Frames, Mat Boards</t>
  </si>
  <si>
    <t>Hanging Wires</t>
  </si>
  <si>
    <t>Aging Awareness Week</t>
  </si>
  <si>
    <t>Awareness Posters</t>
  </si>
  <si>
    <t>Movies Related to Aging</t>
  </si>
  <si>
    <t>UPA Dues</t>
  </si>
  <si>
    <t>Referees</t>
  </si>
  <si>
    <t>Amherst Film Collective</t>
  </si>
  <si>
    <t>Hotel Stay</t>
  </si>
  <si>
    <t>Car Rental (2 Days)</t>
  </si>
  <si>
    <t>Grand Total</t>
  </si>
  <si>
    <t>k</t>
  </si>
  <si>
    <t>l</t>
  </si>
  <si>
    <t>m</t>
  </si>
  <si>
    <t>n</t>
  </si>
  <si>
    <t>o</t>
  </si>
  <si>
    <t>Tabled</t>
  </si>
  <si>
    <t>Coach Payment (2)</t>
  </si>
  <si>
    <t>Coach Payment (1)</t>
  </si>
  <si>
    <t>FICA</t>
  </si>
  <si>
    <t>Station Programming Schedule (2 rounds)</t>
  </si>
  <si>
    <t>Lock-in Food ($200 rule)</t>
  </si>
  <si>
    <t>Badminton Club</t>
  </si>
  <si>
    <t>Amherst Yogis</t>
  </si>
  <si>
    <t>Coaches</t>
  </si>
  <si>
    <t>Poles</t>
  </si>
  <si>
    <t>Rackets</t>
  </si>
  <si>
    <t>Shuttles</t>
  </si>
  <si>
    <t>Re-stringing</t>
  </si>
  <si>
    <t>Equipment Bag</t>
  </si>
  <si>
    <t>Last Edited:</t>
  </si>
  <si>
    <t>By:</t>
  </si>
  <si>
    <t>MD</t>
  </si>
  <si>
    <t>Week 2 (September 21)</t>
  </si>
  <si>
    <t>N/A</t>
  </si>
  <si>
    <t>Residential Life</t>
  </si>
  <si>
    <t>Two Grills</t>
  </si>
  <si>
    <t>Labor and Delivery</t>
  </si>
  <si>
    <t>Mixed Martial Arts</t>
  </si>
  <si>
    <t>TAADA</t>
  </si>
  <si>
    <t>Films for Film Series</t>
  </si>
  <si>
    <t>Food for Events</t>
  </si>
  <si>
    <t>Whitewater Rafting</t>
  </si>
  <si>
    <t>Tip for Rafting Guides</t>
  </si>
  <si>
    <t>Entrance Fees (25)</t>
  </si>
  <si>
    <t>THiNK</t>
  </si>
  <si>
    <t>Reallocation of Publicity Money to Food</t>
  </si>
  <si>
    <t>Food for Fantasy Hockey Draft</t>
  </si>
  <si>
    <t>LEAD Conference</t>
  </si>
  <si>
    <t>LEAD Speaker</t>
  </si>
  <si>
    <t>Ventilation</t>
  </si>
  <si>
    <t>PA System</t>
  </si>
  <si>
    <t>Performer 1 Price</t>
  </si>
  <si>
    <t>Performer 1 Travel Expenses</t>
  </si>
  <si>
    <t>Performer 2 Price</t>
  </si>
  <si>
    <t>Performer 3 Price</t>
  </si>
  <si>
    <t>La Causa and BSU</t>
  </si>
  <si>
    <t>Contracted DJ</t>
  </si>
  <si>
    <t>Women's Rugby</t>
  </si>
  <si>
    <t>Fence Posts and Rope</t>
  </si>
  <si>
    <t>Entrepreneurial Society</t>
  </si>
  <si>
    <t>Week 2 Total</t>
  </si>
  <si>
    <t>Advertising (2)</t>
  </si>
  <si>
    <t>Adverstising</t>
  </si>
  <si>
    <t>Jerseys</t>
  </si>
  <si>
    <t>i</t>
  </si>
  <si>
    <t>Skate Sharpening</t>
  </si>
  <si>
    <t>Jeff Lord</t>
  </si>
  <si>
    <t>Club Hockey</t>
  </si>
  <si>
    <t>Kathryn Lord</t>
  </si>
  <si>
    <t>NERFU Dues</t>
  </si>
  <si>
    <t>AMBIR (Amherst Mountain Bike Intercollegiate Racing) Team</t>
  </si>
  <si>
    <t>Race Fees</t>
  </si>
  <si>
    <t>Replacement Tubes (4)</t>
  </si>
  <si>
    <t>Replacement Chains (2)</t>
  </si>
  <si>
    <t>Handheld Bike Pumps</t>
  </si>
  <si>
    <t>Shop Fees (Labor and Equipment)</t>
  </si>
  <si>
    <t>Group</t>
  </si>
  <si>
    <t>TOTAL</t>
  </si>
  <si>
    <t>Pizza</t>
  </si>
  <si>
    <t>Week 1 (September 14)</t>
  </si>
  <si>
    <t>Week 1 Total</t>
  </si>
  <si>
    <t>Gap Year Event</t>
  </si>
  <si>
    <t>Soda</t>
  </si>
  <si>
    <t>Napkins</t>
  </si>
  <si>
    <t>Plates</t>
  </si>
  <si>
    <t>Pride Alliance</t>
  </si>
  <si>
    <t>Speaking Fee</t>
  </si>
  <si>
    <t>HOLA</t>
  </si>
  <si>
    <t>Tickets for 20 Members</t>
  </si>
  <si>
    <t>Men's Rugby</t>
  </si>
  <si>
    <t>CIPP Registration</t>
  </si>
  <si>
    <t>Shoulder Pads (4)</t>
  </si>
  <si>
    <t>Rucking Pads(2)</t>
  </si>
  <si>
    <t>Tackling Dummies(2)</t>
  </si>
  <si>
    <t>KSA</t>
  </si>
  <si>
    <t>Globemed</t>
  </si>
  <si>
    <t>Table Tents and Flyers</t>
  </si>
  <si>
    <t>Sugar Jones (3 Times)</t>
  </si>
  <si>
    <t>Amherst College Film Forum</t>
  </si>
  <si>
    <t>Amherst Cinema Movie Memberships</t>
  </si>
  <si>
    <t>Amherst College Boxing Club</t>
  </si>
  <si>
    <t>Coach</t>
  </si>
  <si>
    <t>Tables and Chairs</t>
  </si>
  <si>
    <t>Week 10 (November 30)</t>
  </si>
  <si>
    <t>Madrigal Singers</t>
  </si>
  <si>
    <t>Amherst Acappella</t>
  </si>
  <si>
    <t>Keyboard, Stand, and Shipping</t>
  </si>
  <si>
    <t>Needles</t>
  </si>
  <si>
    <t>Ski Team</t>
  </si>
  <si>
    <t>Training Lodging</t>
  </si>
  <si>
    <t>Training Costs and Fees</t>
  </si>
  <si>
    <t>League Dues and Entry Fees</t>
  </si>
  <si>
    <t>Race Lodging</t>
  </si>
  <si>
    <t>Tabtle Tents, Posters</t>
  </si>
  <si>
    <t>Week 10 Total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</si>
</sst>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[Red]&quot;($&quot;#,##0.00\)"/>
    <numFmt numFmtId="165" formatCode="0.0%"/>
    <numFmt numFmtId="166" formatCode="\$#,##0.00"/>
    <numFmt numFmtId="167" formatCode="\$#,##0.00;[Red]\$#,##0.00"/>
    <numFmt numFmtId="168" formatCode="&quot;$&quot;#,##0.00"/>
  </numFmts>
  <fonts count="39">
    <font>
      <sz val="10"/>
      <name val="Verdana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9.5"/>
      <color indexed="9"/>
      <name val="Calibri"/>
      <family val="2"/>
    </font>
    <font>
      <sz val="9.5"/>
      <color indexed="8"/>
      <name val="Calibri"/>
      <family val="2"/>
    </font>
    <font>
      <sz val="10"/>
      <name val="Arial"/>
      <family val="2"/>
    </font>
    <font>
      <b/>
      <sz val="9.5"/>
      <name val="Calibri"/>
      <family val="2"/>
    </font>
    <font>
      <sz val="9.5"/>
      <name val="Calibri"/>
      <family val="2"/>
    </font>
    <font>
      <i/>
      <sz val="9.5"/>
      <name val="Calibri"/>
      <family val="2"/>
    </font>
    <font>
      <sz val="10"/>
      <color indexed="9"/>
      <name val="Verdana"/>
      <family val="2"/>
    </font>
    <font>
      <sz val="9.5"/>
      <color indexed="9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9.5"/>
      <color indexed="9"/>
      <name val="Calibri"/>
      <family val="2"/>
    </font>
    <font>
      <b/>
      <sz val="9.5"/>
      <color indexed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color indexed="9"/>
      <name val="Calibri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58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58"/>
      </patternFill>
    </fill>
    <fill>
      <patternFill patternType="solid">
        <fgColor indexed="36"/>
        <bgColor indexed="58"/>
      </patternFill>
    </fill>
    <fill>
      <patternFill patternType="solid">
        <fgColor indexed="53"/>
        <bgColor indexed="58"/>
      </patternFill>
    </fill>
    <fill>
      <patternFill patternType="solid">
        <fgColor indexed="40"/>
        <bgColor indexed="58"/>
      </patternFill>
    </fill>
    <fill>
      <patternFill patternType="solid">
        <fgColor indexed="13"/>
        <bgColor indexed="58"/>
      </patternFill>
    </fill>
    <fill>
      <patternFill patternType="solid">
        <fgColor indexed="17"/>
        <bgColor indexed="58"/>
      </patternFill>
    </fill>
    <fill>
      <patternFill patternType="solid">
        <fgColor indexed="43"/>
        <bgColor indexed="58"/>
      </patternFill>
    </fill>
    <fill>
      <patternFill patternType="solid">
        <fgColor indexed="56"/>
        <bgColor indexed="58"/>
      </patternFill>
    </fill>
    <fill>
      <patternFill patternType="solid">
        <fgColor indexed="19"/>
        <bgColor indexed="58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2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7" fillId="2" borderId="1" xfId="6" applyFont="1" applyFill="1" applyBorder="1" applyAlignment="1">
      <alignment vertical="center" wrapText="1"/>
    </xf>
    <xf numFmtId="0" fontId="7" fillId="2" borderId="2" xfId="6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 applyProtection="1">
      <alignment horizontal="center" vertical="center" wrapText="1"/>
    </xf>
    <xf numFmtId="43" fontId="7" fillId="2" borderId="2" xfId="1" applyFont="1" applyFill="1" applyBorder="1" applyAlignment="1" applyProtection="1">
      <alignment horizontal="center" vertical="center" wrapText="1"/>
    </xf>
    <xf numFmtId="43" fontId="7" fillId="2" borderId="3" xfId="1" applyFont="1" applyFill="1" applyBorder="1" applyAlignment="1" applyProtection="1">
      <alignment horizontal="center" vertical="center" wrapText="1"/>
    </xf>
    <xf numFmtId="0" fontId="7" fillId="0" borderId="4" xfId="4" applyFont="1" applyFill="1" applyBorder="1" applyAlignment="1">
      <alignment horizontal="left" wrapText="1"/>
    </xf>
    <xf numFmtId="0" fontId="7" fillId="0" borderId="5" xfId="4" applyFont="1" applyFill="1" applyBorder="1" applyAlignment="1">
      <alignment wrapText="1"/>
    </xf>
    <xf numFmtId="164" fontId="8" fillId="0" borderId="5" xfId="4" applyNumberFormat="1" applyFont="1" applyFill="1" applyBorder="1" applyAlignment="1">
      <alignment wrapText="1"/>
    </xf>
    <xf numFmtId="164" fontId="8" fillId="0" borderId="5" xfId="6" applyNumberFormat="1" applyFont="1" applyBorder="1" applyAlignment="1">
      <alignment wrapText="1"/>
    </xf>
    <xf numFmtId="9" fontId="8" fillId="0" borderId="6" xfId="6" applyNumberFormat="1" applyFont="1" applyBorder="1" applyAlignment="1">
      <alignment wrapText="1"/>
    </xf>
    <xf numFmtId="0" fontId="8" fillId="0" borderId="4" xfId="4" applyFont="1" applyFill="1" applyBorder="1" applyAlignment="1">
      <alignment horizontal="left" wrapText="1"/>
    </xf>
    <xf numFmtId="0" fontId="8" fillId="0" borderId="5" xfId="4" applyFont="1" applyFill="1" applyBorder="1" applyAlignment="1">
      <alignment wrapText="1"/>
    </xf>
    <xf numFmtId="9" fontId="8" fillId="0" borderId="7" xfId="6" applyNumberFormat="1" applyFont="1" applyBorder="1" applyAlignment="1">
      <alignment wrapText="1"/>
    </xf>
    <xf numFmtId="0" fontId="8" fillId="2" borderId="8" xfId="6" applyFont="1" applyFill="1" applyBorder="1" applyAlignment="1">
      <alignment wrapText="1"/>
    </xf>
    <xf numFmtId="0" fontId="5" fillId="2" borderId="9" xfId="6" applyFont="1" applyFill="1" applyBorder="1" applyAlignment="1">
      <alignment wrapText="1"/>
    </xf>
    <xf numFmtId="164" fontId="8" fillId="2" borderId="9" xfId="6" applyNumberFormat="1" applyFont="1" applyFill="1" applyBorder="1" applyAlignment="1">
      <alignment wrapText="1"/>
    </xf>
    <xf numFmtId="0" fontId="8" fillId="2" borderId="10" xfId="6" applyFont="1" applyFill="1" applyBorder="1" applyAlignment="1">
      <alignment wrapText="1"/>
    </xf>
    <xf numFmtId="0" fontId="5" fillId="2" borderId="11" xfId="6" applyFont="1" applyFill="1" applyBorder="1" applyAlignment="1">
      <alignment wrapText="1"/>
    </xf>
    <xf numFmtId="9" fontId="8" fillId="2" borderId="12" xfId="6" applyNumberFormat="1" applyFont="1" applyFill="1" applyBorder="1" applyAlignment="1">
      <alignment wrapText="1"/>
    </xf>
    <xf numFmtId="9" fontId="8" fillId="2" borderId="13" xfId="6" applyNumberFormat="1" applyFont="1" applyFill="1" applyBorder="1" applyAlignment="1">
      <alignment wrapText="1"/>
    </xf>
    <xf numFmtId="9" fontId="9" fillId="2" borderId="10" xfId="6" applyNumberFormat="1" applyFont="1" applyFill="1" applyBorder="1" applyAlignment="1">
      <alignment horizontal="center" wrapText="1"/>
    </xf>
    <xf numFmtId="0" fontId="9" fillId="2" borderId="11" xfId="6" applyFont="1" applyFill="1" applyBorder="1" applyAlignment="1">
      <alignment horizontal="center" wrapText="1"/>
    </xf>
    <xf numFmtId="0" fontId="9" fillId="2" borderId="14" xfId="6" applyFont="1" applyFill="1" applyBorder="1" applyAlignment="1">
      <alignment horizontal="center" wrapText="1"/>
    </xf>
    <xf numFmtId="0" fontId="8" fillId="2" borderId="1" xfId="6" applyFont="1" applyFill="1" applyBorder="1" applyAlignment="1">
      <alignment wrapText="1"/>
    </xf>
    <xf numFmtId="0" fontId="5" fillId="2" borderId="2" xfId="6" applyFont="1" applyFill="1" applyBorder="1" applyAlignment="1">
      <alignment wrapText="1"/>
    </xf>
    <xf numFmtId="165" fontId="8" fillId="2" borderId="2" xfId="6" applyNumberFormat="1" applyFont="1" applyFill="1" applyBorder="1" applyAlignment="1">
      <alignment wrapText="1"/>
    </xf>
    <xf numFmtId="165" fontId="8" fillId="2" borderId="15" xfId="6" applyNumberFormat="1" applyFont="1" applyFill="1" applyBorder="1" applyAlignment="1">
      <alignment wrapText="1"/>
    </xf>
    <xf numFmtId="0" fontId="9" fillId="2" borderId="2" xfId="6" applyFont="1" applyFill="1" applyBorder="1" applyAlignment="1">
      <alignment horizontal="center" wrapText="1"/>
    </xf>
    <xf numFmtId="0" fontId="9" fillId="2" borderId="16" xfId="6" applyFont="1" applyFill="1" applyBorder="1" applyAlignment="1">
      <alignment horizontal="center" wrapText="1"/>
    </xf>
    <xf numFmtId="164" fontId="0" fillId="0" borderId="0" xfId="0" applyNumberFormat="1"/>
    <xf numFmtId="0" fontId="10" fillId="3" borderId="0" xfId="0" applyFont="1" applyFill="1"/>
    <xf numFmtId="164" fontId="10" fillId="3" borderId="0" xfId="0" applyNumberFormat="1" applyFont="1" applyFill="1"/>
    <xf numFmtId="0" fontId="11" fillId="3" borderId="5" xfId="0" applyFont="1" applyFill="1" applyBorder="1" applyAlignment="1">
      <alignment wrapText="1"/>
    </xf>
    <xf numFmtId="10" fontId="8" fillId="2" borderId="9" xfId="6" applyNumberFormat="1" applyFont="1" applyFill="1" applyBorder="1" applyAlignment="1">
      <alignment wrapText="1"/>
    </xf>
    <xf numFmtId="0" fontId="14" fillId="0" borderId="0" xfId="0" applyFont="1"/>
    <xf numFmtId="0" fontId="1" fillId="0" borderId="0" xfId="0" applyFont="1"/>
    <xf numFmtId="10" fontId="1" fillId="0" borderId="0" xfId="0" applyNumberFormat="1" applyFont="1"/>
    <xf numFmtId="166" fontId="1" fillId="0" borderId="0" xfId="0" applyNumberFormat="1" applyFont="1"/>
    <xf numFmtId="0" fontId="15" fillId="0" borderId="0" xfId="0" applyFont="1"/>
    <xf numFmtId="0" fontId="16" fillId="0" borderId="0" xfId="0" applyFont="1"/>
    <xf numFmtId="0" fontId="17" fillId="4" borderId="11" xfId="0" applyFont="1" applyFill="1" applyBorder="1"/>
    <xf numFmtId="10" fontId="17" fillId="4" borderId="11" xfId="0" applyNumberFormat="1" applyFont="1" applyFill="1" applyBorder="1"/>
    <xf numFmtId="166" fontId="17" fillId="4" borderId="11" xfId="0" applyNumberFormat="1" applyFont="1" applyFill="1" applyBorder="1"/>
    <xf numFmtId="0" fontId="18" fillId="2" borderId="11" xfId="0" applyFont="1" applyFill="1" applyBorder="1"/>
    <xf numFmtId="164" fontId="18" fillId="2" borderId="11" xfId="0" applyNumberFormat="1" applyFont="1" applyFill="1" applyBorder="1"/>
    <xf numFmtId="10" fontId="18" fillId="2" borderId="11" xfId="0" applyNumberFormat="1" applyFont="1" applyFill="1" applyBorder="1"/>
    <xf numFmtId="166" fontId="1" fillId="2" borderId="11" xfId="0" applyNumberFormat="1" applyFont="1" applyFill="1" applyBorder="1"/>
    <xf numFmtId="167" fontId="18" fillId="2" borderId="11" xfId="0" applyNumberFormat="1" applyFont="1" applyFill="1" applyBorder="1"/>
    <xf numFmtId="168" fontId="18" fillId="2" borderId="11" xfId="0" applyNumberFormat="1" applyFont="1" applyFill="1" applyBorder="1"/>
    <xf numFmtId="0" fontId="18" fillId="0" borderId="11" xfId="0" applyFont="1" applyBorder="1" applyAlignment="1">
      <alignment horizontal="left" indent="1"/>
    </xf>
    <xf numFmtId="167" fontId="1" fillId="0" borderId="11" xfId="0" applyNumberFormat="1" applyFont="1" applyBorder="1"/>
    <xf numFmtId="10" fontId="1" fillId="0" borderId="11" xfId="0" applyNumberFormat="1" applyFont="1" applyBorder="1"/>
    <xf numFmtId="166" fontId="1" fillId="0" borderId="11" xfId="0" applyNumberFormat="1" applyFont="1" applyBorder="1"/>
    <xf numFmtId="0" fontId="18" fillId="0" borderId="2" xfId="0" applyFont="1" applyBorder="1" applyAlignment="1">
      <alignment horizontal="left" indent="1"/>
    </xf>
    <xf numFmtId="167" fontId="1" fillId="0" borderId="17" xfId="0" applyNumberFormat="1" applyFont="1" applyBorder="1"/>
    <xf numFmtId="10" fontId="1" fillId="0" borderId="2" xfId="0" applyNumberFormat="1" applyFont="1" applyBorder="1"/>
    <xf numFmtId="166" fontId="1" fillId="0" borderId="18" xfId="0" applyNumberFormat="1" applyFont="1" applyBorder="1"/>
    <xf numFmtId="0" fontId="1" fillId="0" borderId="11" xfId="0" applyFont="1" applyBorder="1" applyAlignment="1">
      <alignment horizontal="left" indent="2"/>
    </xf>
    <xf numFmtId="166" fontId="1" fillId="0" borderId="19" xfId="0" applyNumberFormat="1" applyFont="1" applyBorder="1"/>
    <xf numFmtId="0" fontId="1" fillId="0" borderId="11" xfId="0" applyFont="1" applyBorder="1" applyAlignment="1">
      <alignment horizontal="left" indent="4"/>
    </xf>
    <xf numFmtId="0" fontId="1" fillId="0" borderId="11" xfId="0" applyFont="1" applyFill="1" applyBorder="1" applyAlignment="1">
      <alignment horizontal="left" indent="2"/>
    </xf>
    <xf numFmtId="0" fontId="1" fillId="0" borderId="11" xfId="0" applyFont="1" applyFill="1" applyBorder="1" applyAlignment="1">
      <alignment horizontal="left" indent="4"/>
    </xf>
    <xf numFmtId="167" fontId="1" fillId="0" borderId="11" xfId="0" applyNumberFormat="1" applyFont="1" applyFill="1" applyBorder="1"/>
    <xf numFmtId="0" fontId="1" fillId="0" borderId="20" xfId="0" applyFont="1" applyFill="1" applyBorder="1" applyAlignment="1">
      <alignment horizontal="left" indent="4"/>
    </xf>
    <xf numFmtId="167" fontId="1" fillId="0" borderId="20" xfId="0" applyNumberFormat="1" applyFont="1" applyFill="1" applyBorder="1"/>
    <xf numFmtId="166" fontId="1" fillId="0" borderId="20" xfId="0" applyNumberFormat="1" applyFont="1" applyBorder="1"/>
    <xf numFmtId="0" fontId="1" fillId="0" borderId="21" xfId="0" applyFont="1" applyFill="1" applyBorder="1" applyAlignment="1">
      <alignment horizontal="left" indent="2"/>
    </xf>
    <xf numFmtId="167" fontId="1" fillId="0" borderId="2" xfId="0" applyNumberFormat="1" applyFont="1" applyFill="1" applyBorder="1"/>
    <xf numFmtId="166" fontId="1" fillId="0" borderId="2" xfId="0" applyNumberFormat="1" applyFont="1" applyBorder="1"/>
    <xf numFmtId="0" fontId="18" fillId="0" borderId="19" xfId="0" applyFont="1" applyBorder="1" applyAlignment="1">
      <alignment horizontal="left" indent="1"/>
    </xf>
    <xf numFmtId="0" fontId="19" fillId="0" borderId="11" xfId="0" applyFont="1" applyBorder="1" applyAlignment="1">
      <alignment horizontal="left" indent="1"/>
    </xf>
    <xf numFmtId="0" fontId="18" fillId="2" borderId="11" xfId="0" applyFont="1" applyFill="1" applyBorder="1" applyAlignment="1">
      <alignment horizontal="left"/>
    </xf>
    <xf numFmtId="44" fontId="20" fillId="5" borderId="0" xfId="2" applyFont="1" applyFill="1"/>
    <xf numFmtId="0" fontId="21" fillId="0" borderId="11" xfId="0" applyFont="1" applyBorder="1" applyAlignment="1">
      <alignment horizontal="left" indent="1"/>
    </xf>
    <xf numFmtId="44" fontId="1" fillId="0" borderId="0" xfId="2" applyFont="1" applyFill="1"/>
    <xf numFmtId="0" fontId="1" fillId="0" borderId="11" xfId="0" applyFont="1" applyBorder="1" applyAlignment="1">
      <alignment horizontal="left" indent="1"/>
    </xf>
    <xf numFmtId="0" fontId="1" fillId="2" borderId="11" xfId="0" applyFont="1" applyFill="1" applyBorder="1" applyAlignment="1">
      <alignment horizontal="left" indent="1"/>
    </xf>
    <xf numFmtId="167" fontId="1" fillId="2" borderId="11" xfId="0" applyNumberFormat="1" applyFont="1" applyFill="1" applyBorder="1"/>
    <xf numFmtId="10" fontId="1" fillId="2" borderId="11" xfId="0" applyNumberFormat="1" applyFont="1" applyFill="1" applyBorder="1"/>
    <xf numFmtId="10" fontId="1" fillId="0" borderId="11" xfId="0" applyNumberFormat="1" applyFont="1" applyFill="1" applyBorder="1"/>
    <xf numFmtId="166" fontId="1" fillId="0" borderId="11" xfId="0" applyNumberFormat="1" applyFont="1" applyFill="1" applyBorder="1"/>
    <xf numFmtId="0" fontId="18" fillId="2" borderId="11" xfId="0" applyFont="1" applyFill="1" applyBorder="1" applyAlignment="1"/>
    <xf numFmtId="166" fontId="18" fillId="2" borderId="11" xfId="0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6" fontId="0" fillId="0" borderId="0" xfId="0" applyNumberFormat="1"/>
    <xf numFmtId="6" fontId="13" fillId="7" borderId="0" xfId="0" applyNumberFormat="1" applyFont="1" applyFill="1"/>
    <xf numFmtId="0" fontId="0" fillId="6" borderId="0" xfId="0" applyFill="1"/>
    <xf numFmtId="0" fontId="0" fillId="7" borderId="0" xfId="0" applyFill="1"/>
    <xf numFmtId="0" fontId="21" fillId="0" borderId="0" xfId="0" applyFont="1" applyFill="1"/>
    <xf numFmtId="0" fontId="23" fillId="6" borderId="0" xfId="0" applyFont="1" applyFill="1"/>
    <xf numFmtId="164" fontId="23" fillId="6" borderId="0" xfId="0" applyNumberFormat="1" applyFont="1" applyFill="1"/>
    <xf numFmtId="0" fontId="24" fillId="6" borderId="0" xfId="0" applyFont="1" applyFill="1"/>
    <xf numFmtId="0" fontId="10" fillId="6" borderId="0" xfId="4" applyFont="1" applyFill="1"/>
    <xf numFmtId="0" fontId="7" fillId="0" borderId="4" xfId="5" applyFont="1" applyFill="1" applyBorder="1" applyAlignment="1">
      <alignment horizontal="left" wrapText="1"/>
    </xf>
    <xf numFmtId="0" fontId="7" fillId="0" borderId="5" xfId="5" applyFont="1" applyFill="1" applyBorder="1" applyAlignment="1">
      <alignment wrapText="1"/>
    </xf>
    <xf numFmtId="164" fontId="8" fillId="0" borderId="5" xfId="5" applyNumberFormat="1" applyFont="1" applyFill="1" applyBorder="1" applyAlignment="1">
      <alignment wrapText="1"/>
    </xf>
    <xf numFmtId="0" fontId="8" fillId="0" borderId="4" xfId="5" applyFont="1" applyFill="1" applyBorder="1" applyAlignment="1">
      <alignment horizontal="left" wrapText="1"/>
    </xf>
    <xf numFmtId="0" fontId="8" fillId="0" borderId="5" xfId="5" applyFont="1" applyFill="1" applyBorder="1" applyAlignment="1">
      <alignment wrapText="1"/>
    </xf>
    <xf numFmtId="0" fontId="4" fillId="4" borderId="0" xfId="6" applyFont="1" applyFill="1" applyBorder="1" applyAlignment="1">
      <alignment horizontal="center" wrapText="1"/>
    </xf>
    <xf numFmtId="9" fontId="8" fillId="0" borderId="0" xfId="6" applyNumberFormat="1" applyFont="1" applyBorder="1" applyAlignment="1">
      <alignment wrapText="1"/>
    </xf>
    <xf numFmtId="0" fontId="4" fillId="4" borderId="22" xfId="6" applyFont="1" applyFill="1" applyBorder="1" applyAlignment="1">
      <alignment horizontal="center" wrapText="1"/>
    </xf>
    <xf numFmtId="0" fontId="4" fillId="4" borderId="23" xfId="6" applyFont="1" applyFill="1" applyBorder="1" applyAlignment="1">
      <alignment horizontal="center" wrapText="1"/>
    </xf>
    <xf numFmtId="164" fontId="8" fillId="0" borderId="4" xfId="6" applyNumberFormat="1" applyFont="1" applyBorder="1" applyAlignment="1">
      <alignment wrapText="1"/>
    </xf>
    <xf numFmtId="0" fontId="5" fillId="2" borderId="0" xfId="6" applyFont="1" applyFill="1" applyBorder="1" applyAlignment="1">
      <alignment wrapText="1"/>
    </xf>
    <xf numFmtId="165" fontId="8" fillId="2" borderId="0" xfId="6" applyNumberFormat="1" applyFont="1" applyFill="1" applyBorder="1" applyAlignment="1">
      <alignment wrapText="1"/>
    </xf>
    <xf numFmtId="165" fontId="8" fillId="2" borderId="0" xfId="6" applyNumberFormat="1" applyFont="1" applyFill="1" applyBorder="1" applyAlignment="1">
      <alignment horizontal="center" wrapText="1"/>
    </xf>
    <xf numFmtId="0" fontId="9" fillId="2" borderId="0" xfId="6" applyFont="1" applyFill="1" applyBorder="1" applyAlignment="1">
      <alignment horizontal="center" wrapText="1"/>
    </xf>
    <xf numFmtId="0" fontId="8" fillId="2" borderId="0" xfId="6" applyFont="1" applyFill="1" applyBorder="1" applyAlignment="1">
      <alignment wrapText="1"/>
    </xf>
    <xf numFmtId="0" fontId="0" fillId="8" borderId="0" xfId="0" applyFill="1"/>
    <xf numFmtId="0" fontId="0" fillId="0" borderId="0" xfId="0" applyFill="1"/>
    <xf numFmtId="0" fontId="11" fillId="0" borderId="0" xfId="0" applyFont="1"/>
    <xf numFmtId="0" fontId="1" fillId="0" borderId="20" xfId="0" applyFont="1" applyFill="1" applyBorder="1" applyAlignment="1">
      <alignment horizontal="left" indent="2"/>
    </xf>
    <xf numFmtId="10" fontId="1" fillId="0" borderId="20" xfId="0" applyNumberFormat="1" applyFont="1" applyBorder="1"/>
    <xf numFmtId="0" fontId="4" fillId="9" borderId="13" xfId="0" applyNumberFormat="1" applyFont="1" applyFill="1" applyBorder="1" applyAlignment="1">
      <alignment horizontal="left" wrapText="1"/>
    </xf>
    <xf numFmtId="166" fontId="7" fillId="9" borderId="13" xfId="0" applyNumberFormat="1" applyFont="1" applyFill="1" applyBorder="1" applyAlignment="1">
      <alignment wrapText="1"/>
    </xf>
    <xf numFmtId="168" fontId="7" fillId="9" borderId="13" xfId="2" applyNumberFormat="1" applyFont="1" applyFill="1" applyBorder="1" applyAlignment="1">
      <alignment wrapText="1"/>
    </xf>
    <xf numFmtId="44" fontId="7" fillId="9" borderId="13" xfId="2" applyNumberFormat="1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168" fontId="8" fillId="0" borderId="13" xfId="2" applyNumberFormat="1" applyFont="1" applyBorder="1" applyAlignment="1">
      <alignment wrapText="1"/>
    </xf>
    <xf numFmtId="168" fontId="8" fillId="10" borderId="13" xfId="2" applyNumberFormat="1" applyFont="1" applyFill="1" applyBorder="1" applyAlignment="1">
      <alignment wrapText="1"/>
    </xf>
    <xf numFmtId="0" fontId="7" fillId="5" borderId="13" xfId="0" applyFont="1" applyFill="1" applyBorder="1" applyAlignment="1">
      <alignment wrapText="1"/>
    </xf>
    <xf numFmtId="168" fontId="8" fillId="5" borderId="13" xfId="2" applyNumberFormat="1" applyFont="1" applyFill="1" applyBorder="1" applyAlignment="1">
      <alignment wrapText="1"/>
    </xf>
    <xf numFmtId="0" fontId="25" fillId="11" borderId="13" xfId="0" applyNumberFormat="1" applyFont="1" applyFill="1" applyBorder="1" applyAlignment="1">
      <alignment horizontal="left" wrapText="1"/>
    </xf>
    <xf numFmtId="166" fontId="26" fillId="11" borderId="13" xfId="0" applyNumberFormat="1" applyFont="1" applyFill="1" applyBorder="1" applyAlignment="1">
      <alignment wrapText="1"/>
    </xf>
    <xf numFmtId="168" fontId="26" fillId="11" borderId="13" xfId="2" applyNumberFormat="1" applyFont="1" applyFill="1" applyBorder="1" applyAlignment="1">
      <alignment wrapText="1"/>
    </xf>
    <xf numFmtId="44" fontId="26" fillId="11" borderId="13" xfId="2" applyNumberFormat="1" applyFont="1" applyFill="1" applyBorder="1" applyAlignment="1">
      <alignment wrapText="1"/>
    </xf>
    <xf numFmtId="0" fontId="25" fillId="11" borderId="24" xfId="0" applyNumberFormat="1" applyFont="1" applyFill="1" applyBorder="1" applyAlignment="1">
      <alignment horizontal="left" wrapText="1"/>
    </xf>
    <xf numFmtId="166" fontId="25" fillId="11" borderId="24" xfId="0" applyNumberFormat="1" applyFont="1" applyFill="1" applyBorder="1" applyAlignment="1">
      <alignment wrapText="1"/>
    </xf>
    <xf numFmtId="168" fontId="25" fillId="11" borderId="24" xfId="2" applyNumberFormat="1" applyFont="1" applyFill="1" applyBorder="1" applyAlignment="1">
      <alignment wrapText="1"/>
    </xf>
    <xf numFmtId="0" fontId="0" fillId="10" borderId="0" xfId="0" applyFill="1"/>
    <xf numFmtId="14" fontId="0" fillId="8" borderId="25" xfId="0" applyNumberFormat="1" applyFill="1" applyBorder="1"/>
    <xf numFmtId="18" fontId="3" fillId="0" borderId="26" xfId="0" applyNumberFormat="1" applyFon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0" fontId="0" fillId="8" borderId="27" xfId="0" applyFill="1" applyBorder="1"/>
    <xf numFmtId="0" fontId="0" fillId="0" borderId="28" xfId="0" applyBorder="1" applyAlignment="1">
      <alignment horizontal="center"/>
    </xf>
    <xf numFmtId="0" fontId="0" fillId="0" borderId="0" xfId="0" applyBorder="1"/>
    <xf numFmtId="168" fontId="7" fillId="9" borderId="13" xfId="3" applyNumberFormat="1" applyFont="1" applyFill="1" applyBorder="1" applyAlignment="1">
      <alignment wrapText="1"/>
    </xf>
    <xf numFmtId="44" fontId="7" fillId="9" borderId="13" xfId="3" applyNumberFormat="1" applyFont="1" applyFill="1" applyBorder="1" applyAlignment="1">
      <alignment wrapText="1"/>
    </xf>
    <xf numFmtId="168" fontId="8" fillId="0" borderId="13" xfId="3" applyNumberFormat="1" applyFont="1" applyBorder="1" applyAlignment="1">
      <alignment wrapText="1"/>
    </xf>
    <xf numFmtId="168" fontId="8" fillId="10" borderId="13" xfId="3" applyNumberFormat="1" applyFont="1" applyFill="1" applyBorder="1" applyAlignment="1">
      <alignment wrapText="1"/>
    </xf>
    <xf numFmtId="168" fontId="8" fillId="5" borderId="13" xfId="3" applyNumberFormat="1" applyFont="1" applyFill="1" applyBorder="1" applyAlignment="1">
      <alignment wrapText="1"/>
    </xf>
    <xf numFmtId="0" fontId="11" fillId="12" borderId="13" xfId="0" applyNumberFormat="1" applyFont="1" applyFill="1" applyBorder="1" applyAlignment="1">
      <alignment horizontal="left" wrapText="1"/>
    </xf>
    <xf numFmtId="166" fontId="4" fillId="12" borderId="13" xfId="0" applyNumberFormat="1" applyFont="1" applyFill="1" applyBorder="1" applyAlignment="1">
      <alignment wrapText="1"/>
    </xf>
    <xf numFmtId="168" fontId="4" fillId="12" borderId="13" xfId="3" applyNumberFormat="1" applyFont="1" applyFill="1" applyBorder="1" applyAlignment="1">
      <alignment wrapText="1"/>
    </xf>
    <xf numFmtId="44" fontId="4" fillId="12" borderId="13" xfId="3" applyNumberFormat="1" applyFont="1" applyFill="1" applyBorder="1" applyAlignment="1">
      <alignment wrapText="1"/>
    </xf>
    <xf numFmtId="0" fontId="4" fillId="12" borderId="13" xfId="0" applyNumberFormat="1" applyFont="1" applyFill="1" applyBorder="1" applyAlignment="1">
      <alignment horizontal="left" wrapText="1"/>
    </xf>
    <xf numFmtId="0" fontId="10" fillId="6" borderId="0" xfId="0" applyFont="1" applyFill="1"/>
    <xf numFmtId="168" fontId="24" fillId="6" borderId="0" xfId="0" applyNumberFormat="1" applyFont="1" applyFill="1"/>
    <xf numFmtId="0" fontId="8" fillId="0" borderId="29" xfId="0" applyFont="1" applyFill="1" applyBorder="1" applyAlignment="1">
      <alignment wrapText="1"/>
    </xf>
    <xf numFmtId="168" fontId="8" fillId="0" borderId="29" xfId="3" applyNumberFormat="1" applyFont="1" applyFill="1" applyBorder="1" applyAlignment="1">
      <alignment wrapText="1"/>
    </xf>
    <xf numFmtId="44" fontId="7" fillId="9" borderId="30" xfId="2" applyNumberFormat="1" applyFont="1" applyFill="1" applyBorder="1" applyAlignment="1">
      <alignment wrapText="1"/>
    </xf>
    <xf numFmtId="0" fontId="7" fillId="10" borderId="13" xfId="0" applyFont="1" applyFill="1" applyBorder="1" applyAlignment="1">
      <alignment wrapText="1"/>
    </xf>
    <xf numFmtId="0" fontId="8" fillId="10" borderId="13" xfId="0" applyFont="1" applyFill="1" applyBorder="1" applyAlignment="1">
      <alignment wrapText="1"/>
    </xf>
    <xf numFmtId="0" fontId="3" fillId="10" borderId="0" xfId="0" applyFont="1" applyFill="1"/>
    <xf numFmtId="0" fontId="8" fillId="13" borderId="13" xfId="0" applyNumberFormat="1" applyFont="1" applyFill="1" applyBorder="1" applyAlignment="1">
      <alignment horizontal="left" wrapText="1"/>
    </xf>
    <xf numFmtId="166" fontId="7" fillId="13" borderId="13" xfId="0" applyNumberFormat="1" applyFont="1" applyFill="1" applyBorder="1" applyAlignment="1">
      <alignment wrapText="1"/>
    </xf>
    <xf numFmtId="168" fontId="7" fillId="13" borderId="13" xfId="3" applyNumberFormat="1" applyFont="1" applyFill="1" applyBorder="1" applyAlignment="1">
      <alignment wrapText="1"/>
    </xf>
    <xf numFmtId="44" fontId="7" fillId="13" borderId="13" xfId="3" applyNumberFormat="1" applyFont="1" applyFill="1" applyBorder="1" applyAlignment="1">
      <alignment wrapText="1"/>
    </xf>
    <xf numFmtId="0" fontId="7" fillId="13" borderId="13" xfId="0" applyNumberFormat="1" applyFont="1" applyFill="1" applyBorder="1" applyAlignment="1">
      <alignment horizontal="left" wrapText="1"/>
    </xf>
    <xf numFmtId="166" fontId="8" fillId="13" borderId="13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8" fontId="8" fillId="0" borderId="0" xfId="3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8" fontId="8" fillId="0" borderId="13" xfId="3" applyNumberFormat="1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30" fillId="0" borderId="0" xfId="0" applyFont="1" applyFill="1"/>
    <xf numFmtId="0" fontId="3" fillId="0" borderId="0" xfId="0" applyFont="1"/>
    <xf numFmtId="0" fontId="8" fillId="14" borderId="13" xfId="0" applyNumberFormat="1" applyFont="1" applyFill="1" applyBorder="1" applyAlignment="1">
      <alignment horizontal="left" wrapText="1"/>
    </xf>
    <xf numFmtId="166" fontId="7" fillId="14" borderId="13" xfId="0" applyNumberFormat="1" applyFont="1" applyFill="1" applyBorder="1" applyAlignment="1">
      <alignment wrapText="1"/>
    </xf>
    <xf numFmtId="168" fontId="7" fillId="14" borderId="13" xfId="3" applyNumberFormat="1" applyFont="1" applyFill="1" applyBorder="1" applyAlignment="1">
      <alignment wrapText="1"/>
    </xf>
    <xf numFmtId="44" fontId="7" fillId="14" borderId="13" xfId="3" applyNumberFormat="1" applyFont="1" applyFill="1" applyBorder="1" applyAlignment="1">
      <alignment wrapText="1"/>
    </xf>
    <xf numFmtId="0" fontId="7" fillId="14" borderId="13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8" fillId="0" borderId="0" xfId="0" applyFont="1"/>
    <xf numFmtId="0" fontId="31" fillId="0" borderId="0" xfId="0" applyFont="1" applyFill="1"/>
    <xf numFmtId="0" fontId="8" fillId="15" borderId="13" xfId="0" applyNumberFormat="1" applyFont="1" applyFill="1" applyBorder="1" applyAlignment="1">
      <alignment horizontal="left" wrapText="1"/>
    </xf>
    <xf numFmtId="166" fontId="7" fillId="15" borderId="13" xfId="0" applyNumberFormat="1" applyFont="1" applyFill="1" applyBorder="1" applyAlignment="1">
      <alignment wrapText="1"/>
    </xf>
    <xf numFmtId="168" fontId="7" fillId="15" borderId="13" xfId="3" applyNumberFormat="1" applyFont="1" applyFill="1" applyBorder="1" applyAlignment="1">
      <alignment wrapText="1"/>
    </xf>
    <xf numFmtId="44" fontId="7" fillId="15" borderId="13" xfId="3" applyNumberFormat="1" applyFont="1" applyFill="1" applyBorder="1" applyAlignment="1">
      <alignment wrapText="1"/>
    </xf>
    <xf numFmtId="0" fontId="32" fillId="0" borderId="0" xfId="0" applyFont="1" applyFill="1"/>
    <xf numFmtId="44" fontId="0" fillId="0" borderId="0" xfId="2" applyFont="1"/>
    <xf numFmtId="44" fontId="0" fillId="6" borderId="0" xfId="2" applyFont="1" applyFill="1"/>
    <xf numFmtId="0" fontId="8" fillId="16" borderId="13" xfId="0" applyNumberFormat="1" applyFont="1" applyFill="1" applyBorder="1" applyAlignment="1">
      <alignment horizontal="left" wrapText="1"/>
    </xf>
    <xf numFmtId="166" fontId="7" fillId="16" borderId="13" xfId="0" applyNumberFormat="1" applyFont="1" applyFill="1" applyBorder="1" applyAlignment="1">
      <alignment wrapText="1"/>
    </xf>
    <xf numFmtId="168" fontId="7" fillId="16" borderId="13" xfId="3" applyNumberFormat="1" applyFont="1" applyFill="1" applyBorder="1" applyAlignment="1">
      <alignment wrapText="1"/>
    </xf>
    <xf numFmtId="44" fontId="7" fillId="16" borderId="13" xfId="3" applyNumberFormat="1" applyFont="1" applyFill="1" applyBorder="1" applyAlignment="1">
      <alignment wrapText="1"/>
    </xf>
    <xf numFmtId="0" fontId="7" fillId="16" borderId="13" xfId="0" applyNumberFormat="1" applyFont="1" applyFill="1" applyBorder="1" applyAlignment="1">
      <alignment horizontal="left" wrapText="1"/>
    </xf>
    <xf numFmtId="0" fontId="33" fillId="0" borderId="0" xfId="0" applyFont="1"/>
    <xf numFmtId="0" fontId="34" fillId="6" borderId="0" xfId="0" applyFont="1" applyFill="1" applyBorder="1" applyAlignment="1">
      <alignment wrapText="1"/>
    </xf>
    <xf numFmtId="0" fontId="35" fillId="0" borderId="0" xfId="0" applyFont="1"/>
    <xf numFmtId="0" fontId="35" fillId="0" borderId="0" xfId="0" applyFont="1" applyFill="1"/>
    <xf numFmtId="8" fontId="0" fillId="0" borderId="0" xfId="0" applyNumberFormat="1"/>
    <xf numFmtId="0" fontId="8" fillId="17" borderId="13" xfId="0" applyNumberFormat="1" applyFont="1" applyFill="1" applyBorder="1" applyAlignment="1">
      <alignment horizontal="left" wrapText="1"/>
    </xf>
    <xf numFmtId="166" fontId="7" fillId="17" borderId="13" xfId="0" applyNumberFormat="1" applyFont="1" applyFill="1" applyBorder="1" applyAlignment="1">
      <alignment wrapText="1"/>
    </xf>
    <xf numFmtId="168" fontId="7" fillId="17" borderId="13" xfId="3" applyNumberFormat="1" applyFont="1" applyFill="1" applyBorder="1" applyAlignment="1">
      <alignment wrapText="1"/>
    </xf>
    <xf numFmtId="44" fontId="7" fillId="17" borderId="13" xfId="3" applyNumberFormat="1" applyFont="1" applyFill="1" applyBorder="1" applyAlignment="1">
      <alignment wrapText="1"/>
    </xf>
    <xf numFmtId="0" fontId="7" fillId="17" borderId="13" xfId="0" applyNumberFormat="1" applyFont="1" applyFill="1" applyBorder="1" applyAlignment="1">
      <alignment horizontal="left" wrapText="1"/>
    </xf>
    <xf numFmtId="0" fontId="36" fillId="0" borderId="0" xfId="0" applyFont="1" applyFill="1"/>
    <xf numFmtId="0" fontId="3" fillId="8" borderId="0" xfId="0" applyFont="1" applyFill="1"/>
    <xf numFmtId="0" fontId="8" fillId="12" borderId="13" xfId="0" applyNumberFormat="1" applyFont="1" applyFill="1" applyBorder="1" applyAlignment="1">
      <alignment horizontal="left" wrapText="1"/>
    </xf>
    <xf numFmtId="166" fontId="7" fillId="12" borderId="13" xfId="0" applyNumberFormat="1" applyFont="1" applyFill="1" applyBorder="1" applyAlignment="1">
      <alignment wrapText="1"/>
    </xf>
    <xf numFmtId="168" fontId="7" fillId="12" borderId="13" xfId="3" applyNumberFormat="1" applyFont="1" applyFill="1" applyBorder="1" applyAlignment="1">
      <alignment wrapText="1"/>
    </xf>
    <xf numFmtId="44" fontId="7" fillId="12" borderId="13" xfId="3" applyNumberFormat="1" applyFont="1" applyFill="1" applyBorder="1" applyAlignment="1">
      <alignment wrapText="1"/>
    </xf>
    <xf numFmtId="0" fontId="7" fillId="12" borderId="13" xfId="0" applyNumberFormat="1" applyFont="1" applyFill="1" applyBorder="1" applyAlignment="1">
      <alignment horizontal="left" wrapText="1"/>
    </xf>
    <xf numFmtId="0" fontId="0" fillId="5" borderId="0" xfId="0" applyFill="1"/>
    <xf numFmtId="0" fontId="11" fillId="18" borderId="13" xfId="0" applyNumberFormat="1" applyFont="1" applyFill="1" applyBorder="1" applyAlignment="1">
      <alignment horizontal="left" wrapText="1"/>
    </xf>
    <xf numFmtId="166" fontId="4" fillId="18" borderId="13" xfId="0" applyNumberFormat="1" applyFont="1" applyFill="1" applyBorder="1" applyAlignment="1">
      <alignment wrapText="1"/>
    </xf>
    <xf numFmtId="168" fontId="4" fillId="18" borderId="13" xfId="3" applyNumberFormat="1" applyFont="1" applyFill="1" applyBorder="1" applyAlignment="1">
      <alignment wrapText="1"/>
    </xf>
    <xf numFmtId="44" fontId="4" fillId="18" borderId="13" xfId="3" applyNumberFormat="1" applyFont="1" applyFill="1" applyBorder="1" applyAlignment="1">
      <alignment wrapText="1"/>
    </xf>
    <xf numFmtId="0" fontId="3" fillId="0" borderId="0" xfId="0" applyFont="1" applyFill="1"/>
    <xf numFmtId="0" fontId="4" fillId="18" borderId="13" xfId="0" applyNumberFormat="1" applyFont="1" applyFill="1" applyBorder="1" applyAlignment="1">
      <alignment horizontal="left" wrapText="1"/>
    </xf>
    <xf numFmtId="0" fontId="37" fillId="0" borderId="0" xfId="0" applyFont="1" applyFill="1"/>
    <xf numFmtId="0" fontId="7" fillId="0" borderId="13" xfId="0" applyFont="1" applyFill="1" applyBorder="1" applyAlignment="1">
      <alignment wrapText="1"/>
    </xf>
    <xf numFmtId="168" fontId="8" fillId="0" borderId="13" xfId="0" applyNumberFormat="1" applyFont="1" applyBorder="1" applyAlignment="1">
      <alignment wrapText="1"/>
    </xf>
    <xf numFmtId="0" fontId="11" fillId="19" borderId="13" xfId="0" applyNumberFormat="1" applyFont="1" applyFill="1" applyBorder="1" applyAlignment="1">
      <alignment horizontal="left" wrapText="1"/>
    </xf>
    <xf numFmtId="166" fontId="4" fillId="19" borderId="13" xfId="0" applyNumberFormat="1" applyFont="1" applyFill="1" applyBorder="1" applyAlignment="1">
      <alignment wrapText="1"/>
    </xf>
    <xf numFmtId="168" fontId="4" fillId="19" borderId="13" xfId="3" applyNumberFormat="1" applyFont="1" applyFill="1" applyBorder="1" applyAlignment="1">
      <alignment wrapText="1"/>
    </xf>
    <xf numFmtId="44" fontId="4" fillId="19" borderId="13" xfId="3" applyNumberFormat="1" applyFont="1" applyFill="1" applyBorder="1" applyAlignment="1">
      <alignment wrapText="1"/>
    </xf>
    <xf numFmtId="0" fontId="4" fillId="19" borderId="13" xfId="0" applyNumberFormat="1" applyFont="1" applyFill="1" applyBorder="1" applyAlignment="1">
      <alignment horizontal="left" wrapText="1"/>
    </xf>
    <xf numFmtId="0" fontId="38" fillId="0" borderId="0" xfId="0" applyFont="1"/>
    <xf numFmtId="0" fontId="4" fillId="4" borderId="22" xfId="6" applyFont="1" applyFill="1" applyBorder="1" applyAlignment="1">
      <alignment horizontal="center" wrapText="1"/>
    </xf>
    <xf numFmtId="0" fontId="4" fillId="4" borderId="23" xfId="6" applyFont="1" applyFill="1" applyBorder="1" applyAlignment="1">
      <alignment horizontal="center" wrapText="1"/>
    </xf>
    <xf numFmtId="0" fontId="4" fillId="6" borderId="0" xfId="0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3"/>
    <cellStyle name="Normal" xfId="0" builtinId="0"/>
    <cellStyle name="Normal_Sheet1" xfId="4"/>
    <cellStyle name="Normal_Sheet1_1" xfId="5"/>
    <cellStyle name="Normal_Sheet4" xfId="6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31" sqref="D31"/>
    </sheetView>
  </sheetViews>
  <sheetFormatPr defaultColWidth="8.75" defaultRowHeight="12.75"/>
  <cols>
    <col min="1" max="1" width="48.375" customWidth="1"/>
    <col min="2" max="2" width="13" customWidth="1"/>
    <col min="4" max="4" width="15" customWidth="1"/>
    <col min="5" max="5" width="12.25" customWidth="1"/>
  </cols>
  <sheetData>
    <row r="1" spans="1:9" ht="18.75">
      <c r="A1" s="37" t="s">
        <v>332</v>
      </c>
      <c r="B1" s="38"/>
      <c r="C1" s="39"/>
      <c r="D1" s="40"/>
      <c r="E1" s="40"/>
    </row>
    <row r="2" spans="1:9" ht="15.75">
      <c r="A2" s="41" t="s">
        <v>461</v>
      </c>
      <c r="B2" s="38"/>
      <c r="C2" s="39"/>
      <c r="D2" s="40"/>
      <c r="E2" s="40"/>
    </row>
    <row r="3" spans="1:9" ht="15.75">
      <c r="A3" s="42" t="s">
        <v>462</v>
      </c>
      <c r="B3" s="38"/>
      <c r="C3" s="39"/>
      <c r="D3" s="40"/>
      <c r="E3" s="40"/>
    </row>
    <row r="4" spans="1:9" ht="15.75">
      <c r="A4" s="42" t="s">
        <v>388</v>
      </c>
    </row>
    <row r="5" spans="1:9" ht="15.75">
      <c r="A5" s="42" t="s">
        <v>640</v>
      </c>
      <c r="B5" s="38"/>
      <c r="C5" s="39"/>
      <c r="D5" s="40"/>
      <c r="E5" s="40"/>
    </row>
    <row r="6" spans="1:9" ht="15.75">
      <c r="A6" s="42" t="s">
        <v>641</v>
      </c>
      <c r="B6" s="38"/>
      <c r="C6" s="39"/>
      <c r="D6" s="40"/>
      <c r="E6" s="40"/>
    </row>
    <row r="7" spans="1:9" ht="15.75">
      <c r="A7" s="41"/>
      <c r="B7" s="38"/>
      <c r="C7" s="39"/>
      <c r="D7" s="40"/>
      <c r="E7" s="40"/>
    </row>
    <row r="8" spans="1:9">
      <c r="A8" s="43" t="s">
        <v>642</v>
      </c>
      <c r="B8" s="43" t="s">
        <v>643</v>
      </c>
      <c r="C8" s="44" t="s">
        <v>644</v>
      </c>
      <c r="D8" s="45" t="s">
        <v>703</v>
      </c>
      <c r="E8" s="45" t="s">
        <v>704</v>
      </c>
    </row>
    <row r="9" spans="1:9" ht="15">
      <c r="A9" s="46" t="s">
        <v>645</v>
      </c>
      <c r="B9" s="47">
        <f>(1650*(508.2/2))</f>
        <v>419265</v>
      </c>
      <c r="C9" s="48"/>
      <c r="D9" s="49"/>
      <c r="E9" s="49"/>
    </row>
    <row r="10" spans="1:9" ht="15">
      <c r="A10" s="46" t="s">
        <v>646</v>
      </c>
      <c r="B10" s="50">
        <f>SUM(B11,B12,B30,B25,B26,B27,B28,B29,)</f>
        <v>170775</v>
      </c>
      <c r="C10" s="48">
        <f>B10/B9</f>
        <v>0.40731995277449823</v>
      </c>
      <c r="D10" s="51">
        <f>SUM(D11,D12,D25,D26,D27,D28,D29,D30)</f>
        <v>103962.66</v>
      </c>
      <c r="E10" s="49">
        <f>B10-D10</f>
        <v>66812.34</v>
      </c>
    </row>
    <row r="11" spans="1:9" ht="15">
      <c r="A11" s="52" t="s">
        <v>647</v>
      </c>
      <c r="B11" s="53">
        <v>6000</v>
      </c>
      <c r="C11" s="54">
        <f>B11/B9</f>
        <v>1.4310758112411006E-2</v>
      </c>
      <c r="D11" s="55">
        <f>52.16+277.91+136.58+575.38+12+10+315</f>
        <v>1379.0300000000002</v>
      </c>
      <c r="E11" s="55">
        <f>B11-D11</f>
        <v>4620.9699999999993</v>
      </c>
      <c r="H11" t="s">
        <v>330</v>
      </c>
      <c r="I11">
        <f>0.35*B9</f>
        <v>146742.75</v>
      </c>
    </row>
    <row r="12" spans="1:9" ht="15.75" thickBot="1">
      <c r="A12" s="56" t="s">
        <v>648</v>
      </c>
      <c r="B12" s="57">
        <f>SUM(B13,B14,B19,B20,B23,B24)</f>
        <v>25525</v>
      </c>
      <c r="C12" s="58">
        <f>B12/B9</f>
        <v>6.0880350136548481E-2</v>
      </c>
      <c r="D12" s="57">
        <v>206.38</v>
      </c>
      <c r="E12" s="59">
        <f>B12-D12</f>
        <v>25318.62</v>
      </c>
      <c r="H12" t="s">
        <v>331</v>
      </c>
      <c r="I12">
        <f>0.45*B9</f>
        <v>188669.25</v>
      </c>
    </row>
    <row r="13" spans="1:9" ht="15">
      <c r="A13" s="60" t="s">
        <v>649</v>
      </c>
      <c r="B13" s="53">
        <v>7000</v>
      </c>
      <c r="C13" s="54">
        <f>B13/B9</f>
        <v>1.6695884464479505E-2</v>
      </c>
      <c r="D13" s="55">
        <f>341.86+50.99+285.83+50.26+81.71+194.04+17.5</f>
        <v>1022.19</v>
      </c>
      <c r="E13" s="61">
        <f>B13-D13</f>
        <v>5977.8099999999995</v>
      </c>
    </row>
    <row r="14" spans="1:9" ht="15">
      <c r="A14" s="60" t="s">
        <v>650</v>
      </c>
      <c r="B14" s="53">
        <f>SUM(B15,B16,B17)</f>
        <v>900</v>
      </c>
      <c r="C14" s="54">
        <f>B14/B9</f>
        <v>2.1466137168616507E-3</v>
      </c>
      <c r="D14" s="53">
        <v>0</v>
      </c>
      <c r="E14" s="61">
        <f>B14-D14</f>
        <v>900</v>
      </c>
    </row>
    <row r="15" spans="1:9" ht="15">
      <c r="A15" s="62" t="s">
        <v>651</v>
      </c>
      <c r="B15" s="53">
        <v>150</v>
      </c>
      <c r="C15" s="54">
        <f>B15/B9</f>
        <v>3.5776895281027513E-4</v>
      </c>
      <c r="D15" s="55">
        <v>0</v>
      </c>
      <c r="E15" s="61">
        <f t="shared" ref="E15:E30" si="0">B15-D15</f>
        <v>150</v>
      </c>
    </row>
    <row r="16" spans="1:9" ht="15">
      <c r="A16" s="62" t="s">
        <v>761</v>
      </c>
      <c r="B16" s="53">
        <v>500</v>
      </c>
      <c r="C16" s="54">
        <f>B16/B9</f>
        <v>1.1925631760342503E-3</v>
      </c>
      <c r="D16" s="55">
        <v>0</v>
      </c>
      <c r="E16" s="61">
        <f t="shared" si="0"/>
        <v>500</v>
      </c>
    </row>
    <row r="17" spans="1:5" ht="15">
      <c r="A17" s="62" t="s">
        <v>652</v>
      </c>
      <c r="B17" s="53">
        <v>250</v>
      </c>
      <c r="C17" s="54">
        <f>B17/B9</f>
        <v>5.9628158801712516E-4</v>
      </c>
      <c r="D17" s="55">
        <v>0</v>
      </c>
      <c r="E17" s="61">
        <f t="shared" si="0"/>
        <v>250</v>
      </c>
    </row>
    <row r="18" spans="1:5" ht="15">
      <c r="A18" s="62" t="s">
        <v>653</v>
      </c>
      <c r="B18" s="53">
        <f>15000</f>
        <v>15000</v>
      </c>
      <c r="C18" s="54">
        <f>B18/B9</f>
        <v>3.577689528102751E-2</v>
      </c>
      <c r="D18" s="55">
        <v>0</v>
      </c>
      <c r="E18" s="61">
        <f t="shared" si="0"/>
        <v>15000</v>
      </c>
    </row>
    <row r="19" spans="1:5" ht="15">
      <c r="A19" s="60" t="s">
        <v>654</v>
      </c>
      <c r="B19" s="53">
        <v>4000</v>
      </c>
      <c r="C19" s="54">
        <f>B19/B9</f>
        <v>9.5405054082740026E-3</v>
      </c>
      <c r="D19" s="55">
        <v>0</v>
      </c>
      <c r="E19" s="61">
        <f t="shared" si="0"/>
        <v>4000</v>
      </c>
    </row>
    <row r="20" spans="1:5" ht="15">
      <c r="A20" s="63" t="s">
        <v>475</v>
      </c>
      <c r="B20" s="53">
        <f>SUM(B21:B22)</f>
        <v>11625</v>
      </c>
      <c r="C20" s="54">
        <f>B20/B10</f>
        <v>6.8072024593763727E-2</v>
      </c>
      <c r="D20" s="53">
        <v>0</v>
      </c>
      <c r="E20" s="61">
        <f t="shared" si="0"/>
        <v>11625</v>
      </c>
    </row>
    <row r="21" spans="1:5" ht="15">
      <c r="A21" s="64" t="s">
        <v>476</v>
      </c>
      <c r="B21" s="65">
        <v>9000</v>
      </c>
      <c r="C21" s="54">
        <f>B21/B9</f>
        <v>2.1466137168616506E-2</v>
      </c>
      <c r="D21" s="55">
        <f>2006.25+1675</f>
        <v>3681.25</v>
      </c>
      <c r="E21" s="61">
        <f>B21-D21</f>
        <v>5318.75</v>
      </c>
    </row>
    <row r="22" spans="1:5" ht="15">
      <c r="A22" s="66" t="s">
        <v>477</v>
      </c>
      <c r="B22" s="67">
        <v>2625</v>
      </c>
      <c r="C22" s="54">
        <f>B22/B9</f>
        <v>6.2609566741798151E-3</v>
      </c>
      <c r="D22" s="68">
        <v>0</v>
      </c>
      <c r="E22" s="61">
        <f t="shared" si="0"/>
        <v>2625</v>
      </c>
    </row>
    <row r="23" spans="1:5" ht="15">
      <c r="A23" s="115" t="s">
        <v>478</v>
      </c>
      <c r="B23" s="67">
        <v>1000</v>
      </c>
      <c r="C23" s="116">
        <f>B23/B9</f>
        <v>2.3851263520685007E-3</v>
      </c>
      <c r="D23" s="68">
        <f>67.37</f>
        <v>67.37</v>
      </c>
      <c r="E23" s="68">
        <f t="shared" si="0"/>
        <v>932.63</v>
      </c>
    </row>
    <row r="24" spans="1:5" ht="15.75" thickBot="1">
      <c r="A24" s="69" t="s">
        <v>389</v>
      </c>
      <c r="B24" s="70">
        <v>1000</v>
      </c>
      <c r="C24" s="58">
        <f>B24/B10</f>
        <v>5.8556580295710727E-3</v>
      </c>
      <c r="D24" s="71">
        <v>0</v>
      </c>
      <c r="E24" s="59">
        <f>B24-D24</f>
        <v>1000</v>
      </c>
    </row>
    <row r="25" spans="1:5" ht="15.75" thickBot="1">
      <c r="A25" s="72" t="s">
        <v>479</v>
      </c>
      <c r="B25" s="53">
        <v>5250</v>
      </c>
      <c r="C25" s="54">
        <f>B25/B9</f>
        <v>1.252191334835963E-2</v>
      </c>
      <c r="D25" s="55">
        <f>5250</f>
        <v>5250</v>
      </c>
      <c r="E25" s="59">
        <f t="shared" si="0"/>
        <v>0</v>
      </c>
    </row>
    <row r="26" spans="1:5" ht="15.75" thickBot="1">
      <c r="A26" s="73" t="s">
        <v>480</v>
      </c>
      <c r="B26" s="53">
        <v>40000</v>
      </c>
      <c r="C26" s="54">
        <f>B26/B9</f>
        <v>9.540505408274004E-2</v>
      </c>
      <c r="D26" s="55">
        <v>20000</v>
      </c>
      <c r="E26" s="59">
        <f t="shared" si="0"/>
        <v>20000</v>
      </c>
    </row>
    <row r="27" spans="1:5" ht="15.75" thickBot="1">
      <c r="A27" s="52" t="s">
        <v>481</v>
      </c>
      <c r="B27" s="53">
        <v>45000</v>
      </c>
      <c r="C27" s="54">
        <f>B27/B9</f>
        <v>0.10733068584308254</v>
      </c>
      <c r="D27" s="55">
        <f>44000</f>
        <v>44000</v>
      </c>
      <c r="E27" s="59">
        <f t="shared" si="0"/>
        <v>1000</v>
      </c>
    </row>
    <row r="28" spans="1:5" ht="15.75" thickBot="1">
      <c r="A28" s="52" t="s">
        <v>482</v>
      </c>
      <c r="B28" s="53">
        <v>10000</v>
      </c>
      <c r="C28" s="54">
        <f>B28/B9</f>
        <v>2.385126352068501E-2</v>
      </c>
      <c r="D28" s="55">
        <v>0</v>
      </c>
      <c r="E28" s="59">
        <f t="shared" si="0"/>
        <v>10000</v>
      </c>
    </row>
    <row r="29" spans="1:5" ht="15.75" thickBot="1">
      <c r="A29" s="52" t="s">
        <v>483</v>
      </c>
      <c r="B29" s="53">
        <v>29000</v>
      </c>
      <c r="C29" s="54">
        <f>B29/B9</f>
        <v>6.9168664209986519E-2</v>
      </c>
      <c r="D29" s="55">
        <f>28000</f>
        <v>28000</v>
      </c>
      <c r="E29" s="59">
        <f t="shared" si="0"/>
        <v>1000</v>
      </c>
    </row>
    <row r="30" spans="1:5" ht="15.75" thickBot="1">
      <c r="A30" s="52" t="s">
        <v>484</v>
      </c>
      <c r="B30" s="53">
        <v>10000</v>
      </c>
      <c r="C30" s="54">
        <f>B30/B10</f>
        <v>5.8556580295710731E-2</v>
      </c>
      <c r="D30" s="55">
        <f>714.75+791.5+791.5+676.5+696+786+671</f>
        <v>5127.25</v>
      </c>
      <c r="E30" s="59">
        <f t="shared" si="0"/>
        <v>4872.75</v>
      </c>
    </row>
    <row r="31" spans="1:5" ht="15">
      <c r="A31" s="74" t="s">
        <v>668</v>
      </c>
      <c r="B31" s="75">
        <f>'Club Budgets'!E877</f>
        <v>167209.59999999998</v>
      </c>
      <c r="C31" s="48">
        <f>B31/B9</f>
        <v>0.39881602327883314</v>
      </c>
      <c r="D31" s="48">
        <f>B31/B9</f>
        <v>0.39881602327883314</v>
      </c>
      <c r="E31" s="49"/>
    </row>
    <row r="32" spans="1:5" ht="15">
      <c r="A32" s="74" t="s">
        <v>669</v>
      </c>
      <c r="B32" s="50">
        <f>B9-B10-B31</f>
        <v>81280.400000000023</v>
      </c>
      <c r="C32" s="48">
        <f>B32/B9</f>
        <v>0.19386402394666863</v>
      </c>
      <c r="D32" s="48">
        <f>B32/B9</f>
        <v>0.19386402394666863</v>
      </c>
      <c r="E32" s="49"/>
    </row>
    <row r="33" spans="1:5" ht="15">
      <c r="A33" s="76" t="s">
        <v>670</v>
      </c>
      <c r="B33" s="77">
        <v>50000</v>
      </c>
      <c r="C33" s="54" t="s">
        <v>671</v>
      </c>
      <c r="D33" s="55"/>
      <c r="E33" s="55"/>
    </row>
    <row r="34" spans="1:5" ht="15">
      <c r="A34" s="78" t="s">
        <v>672</v>
      </c>
      <c r="B34" s="65">
        <v>0</v>
      </c>
      <c r="C34" s="54"/>
      <c r="D34" s="55"/>
      <c r="E34" s="55"/>
    </row>
    <row r="35" spans="1:5" ht="15">
      <c r="A35" s="78" t="s">
        <v>673</v>
      </c>
      <c r="B35" s="65"/>
      <c r="C35" s="54"/>
      <c r="D35" s="55"/>
      <c r="E35" s="55"/>
    </row>
    <row r="36" spans="1:5" ht="15">
      <c r="A36" s="79" t="s">
        <v>674</v>
      </c>
      <c r="B36" s="80">
        <v>0</v>
      </c>
      <c r="C36" s="81"/>
      <c r="D36" s="49"/>
      <c r="E36" s="49"/>
    </row>
    <row r="37" spans="1:5" ht="15">
      <c r="A37" s="63" t="s">
        <v>328</v>
      </c>
      <c r="B37" s="65">
        <v>0</v>
      </c>
      <c r="C37" s="82"/>
      <c r="D37" s="83"/>
      <c r="E37" s="83"/>
    </row>
    <row r="38" spans="1:5">
      <c r="A38" s="84" t="s">
        <v>329</v>
      </c>
      <c r="B38" s="51">
        <f>B32+B33+B34+B37</f>
        <v>131280.40000000002</v>
      </c>
      <c r="C38" s="48"/>
      <c r="D38" s="85"/>
      <c r="E38" s="85"/>
    </row>
  </sheetData>
  <phoneticPr fontId="22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7"/>
  <sheetViews>
    <sheetView showWhiteSpace="0" topLeftCell="A249" zoomScale="85" zoomScaleNormal="85" zoomScalePageLayoutView="85" workbookViewId="0">
      <selection activeCell="K288" sqref="K288"/>
    </sheetView>
  </sheetViews>
  <sheetFormatPr defaultColWidth="11" defaultRowHeight="12.75"/>
  <cols>
    <col min="1" max="1" width="2.625" bestFit="1" customWidth="1"/>
    <col min="2" max="2" width="25.625" bestFit="1" customWidth="1"/>
    <col min="3" max="3" width="13.375" customWidth="1"/>
    <col min="4" max="4" width="19.625" customWidth="1"/>
    <col min="5" max="5" width="13.125" customWidth="1"/>
    <col min="6" max="6" width="14" customWidth="1"/>
    <col min="7" max="7" width="17.75" customWidth="1"/>
    <col min="8" max="8" width="14" customWidth="1"/>
  </cols>
  <sheetData>
    <row r="1" spans="1:8" ht="12.75" customHeight="1">
      <c r="A1" s="226" t="s">
        <v>833</v>
      </c>
      <c r="B1" s="226"/>
      <c r="C1" s="226"/>
      <c r="D1" s="226"/>
      <c r="E1" s="226"/>
      <c r="F1" s="226"/>
      <c r="G1" s="226"/>
      <c r="H1" s="226"/>
    </row>
    <row r="2" spans="1:8" ht="13.5" thickBot="1">
      <c r="A2" s="1"/>
      <c r="B2" s="2"/>
      <c r="C2" s="1"/>
      <c r="D2" s="1"/>
      <c r="E2" s="1"/>
      <c r="F2" s="1"/>
      <c r="G2" s="1"/>
      <c r="H2" s="1"/>
    </row>
    <row r="3" spans="1:8">
      <c r="A3" s="224" t="s">
        <v>655</v>
      </c>
      <c r="B3" s="224"/>
      <c r="C3" s="224"/>
      <c r="D3" s="224"/>
      <c r="E3" s="224"/>
      <c r="F3" s="224"/>
      <c r="G3" s="224"/>
      <c r="H3" s="225"/>
    </row>
    <row r="4" spans="1:8" ht="13.5" thickBot="1">
      <c r="A4" s="3"/>
      <c r="B4" s="4" t="s">
        <v>699</v>
      </c>
      <c r="C4" s="5" t="s">
        <v>700</v>
      </c>
      <c r="D4" s="6" t="s">
        <v>701</v>
      </c>
      <c r="E4" s="6" t="s">
        <v>702</v>
      </c>
      <c r="F4" s="6" t="s">
        <v>703</v>
      </c>
      <c r="G4" s="6" t="s">
        <v>704</v>
      </c>
      <c r="H4" s="7" t="s">
        <v>705</v>
      </c>
    </row>
    <row r="5" spans="1:8">
      <c r="A5" s="8">
        <v>1</v>
      </c>
      <c r="B5" s="9" t="s">
        <v>656</v>
      </c>
      <c r="C5" s="10"/>
      <c r="D5" s="11"/>
      <c r="E5" s="11"/>
      <c r="F5" s="11"/>
      <c r="G5" s="11"/>
      <c r="H5" s="12"/>
    </row>
    <row r="6" spans="1:8">
      <c r="A6" s="13" t="s">
        <v>706</v>
      </c>
      <c r="B6" s="14" t="s">
        <v>657</v>
      </c>
      <c r="C6" s="10">
        <v>530</v>
      </c>
      <c r="D6" s="11">
        <v>530</v>
      </c>
      <c r="E6" s="11">
        <v>530</v>
      </c>
      <c r="F6" s="11">
        <f>530</f>
        <v>530</v>
      </c>
      <c r="G6" s="11">
        <f>E6-F6</f>
        <v>0</v>
      </c>
      <c r="H6" s="15">
        <f>G6/E6</f>
        <v>0</v>
      </c>
    </row>
    <row r="7" spans="1:8">
      <c r="A7" s="13" t="s">
        <v>709</v>
      </c>
      <c r="B7" s="14" t="s">
        <v>840</v>
      </c>
      <c r="C7" s="10">
        <v>70</v>
      </c>
      <c r="D7" s="11">
        <v>70</v>
      </c>
      <c r="E7" s="11">
        <v>70</v>
      </c>
      <c r="F7" s="11">
        <f>69.54</f>
        <v>69.540000000000006</v>
      </c>
      <c r="G7" s="11">
        <f>E7-F7</f>
        <v>0.45999999999999375</v>
      </c>
      <c r="H7" s="15">
        <f>G7/E7</f>
        <v>6.5714285714284825E-3</v>
      </c>
    </row>
    <row r="8" spans="1:8">
      <c r="A8" s="13" t="s">
        <v>710</v>
      </c>
      <c r="B8" s="14" t="s">
        <v>839</v>
      </c>
      <c r="C8" s="10">
        <v>100</v>
      </c>
      <c r="D8" s="11">
        <v>100</v>
      </c>
      <c r="E8" s="11">
        <v>100</v>
      </c>
      <c r="F8" s="11">
        <f>96.14</f>
        <v>96.14</v>
      </c>
      <c r="G8" s="11">
        <f>E8-F8</f>
        <v>3.8599999999999994</v>
      </c>
      <c r="H8" s="15">
        <f>G8/E8</f>
        <v>3.8599999999999995E-2</v>
      </c>
    </row>
    <row r="9" spans="1:8">
      <c r="A9" s="13" t="s">
        <v>712</v>
      </c>
      <c r="B9" s="14" t="s">
        <v>708</v>
      </c>
      <c r="C9" s="10">
        <v>10</v>
      </c>
      <c r="D9" s="11">
        <v>9</v>
      </c>
      <c r="E9" s="11">
        <v>9</v>
      </c>
      <c r="F9" s="11">
        <f>9</f>
        <v>9</v>
      </c>
      <c r="G9" s="11">
        <f>E9-F9</f>
        <v>0</v>
      </c>
      <c r="H9" s="15">
        <f>G9/E9</f>
        <v>0</v>
      </c>
    </row>
    <row r="10" spans="1:8">
      <c r="A10" s="8">
        <v>2</v>
      </c>
      <c r="B10" s="9" t="s">
        <v>658</v>
      </c>
      <c r="C10" s="10"/>
      <c r="D10" s="11"/>
      <c r="E10" s="11"/>
      <c r="F10" s="11"/>
      <c r="G10" s="11"/>
      <c r="H10" s="12"/>
    </row>
    <row r="11" spans="1:8">
      <c r="A11" s="13" t="s">
        <v>706</v>
      </c>
      <c r="B11" s="14" t="s">
        <v>657</v>
      </c>
      <c r="C11" s="10">
        <v>530</v>
      </c>
      <c r="D11" s="11" t="s">
        <v>491</v>
      </c>
      <c r="E11" s="11" t="s">
        <v>491</v>
      </c>
      <c r="F11" s="11"/>
      <c r="G11" s="11" t="e">
        <f>E11-F11</f>
        <v>#VALUE!</v>
      </c>
      <c r="H11" s="15" t="e">
        <f>G11/E11</f>
        <v>#VALUE!</v>
      </c>
    </row>
    <row r="12" spans="1:8">
      <c r="A12" s="13" t="s">
        <v>709</v>
      </c>
      <c r="B12" s="14" t="s">
        <v>840</v>
      </c>
      <c r="C12" s="10">
        <v>70</v>
      </c>
      <c r="D12" s="11" t="s">
        <v>491</v>
      </c>
      <c r="E12" s="11" t="s">
        <v>491</v>
      </c>
      <c r="F12" s="11"/>
      <c r="G12" s="11" t="e">
        <f>E12-F12</f>
        <v>#VALUE!</v>
      </c>
      <c r="H12" s="15" t="e">
        <f>G12/E12</f>
        <v>#VALUE!</v>
      </c>
    </row>
    <row r="13" spans="1:8">
      <c r="A13" s="13" t="s">
        <v>710</v>
      </c>
      <c r="B13" s="14" t="s">
        <v>839</v>
      </c>
      <c r="C13" s="10">
        <v>100</v>
      </c>
      <c r="D13" s="11" t="s">
        <v>491</v>
      </c>
      <c r="E13" s="11" t="s">
        <v>491</v>
      </c>
      <c r="F13" s="11"/>
      <c r="G13" s="11" t="e">
        <f>E13-F13</f>
        <v>#VALUE!</v>
      </c>
      <c r="H13" s="15" t="e">
        <f>G13/E13</f>
        <v>#VALUE!</v>
      </c>
    </row>
    <row r="14" spans="1:8">
      <c r="A14" s="13" t="s">
        <v>712</v>
      </c>
      <c r="B14" s="14" t="s">
        <v>659</v>
      </c>
      <c r="C14" s="10">
        <v>150</v>
      </c>
      <c r="D14" s="11">
        <v>150</v>
      </c>
      <c r="E14" s="11">
        <v>150</v>
      </c>
      <c r="F14" s="11">
        <f>66.84+17.06</f>
        <v>83.9</v>
      </c>
      <c r="G14" s="11">
        <f>E14-F14</f>
        <v>66.099999999999994</v>
      </c>
      <c r="H14" s="15">
        <f>G14/E14</f>
        <v>0.44066666666666665</v>
      </c>
    </row>
    <row r="15" spans="1:8">
      <c r="A15" s="13" t="s">
        <v>713</v>
      </c>
      <c r="B15" s="14" t="s">
        <v>708</v>
      </c>
      <c r="C15" s="10">
        <v>10</v>
      </c>
      <c r="D15" s="11">
        <v>9</v>
      </c>
      <c r="E15" s="11">
        <v>9</v>
      </c>
      <c r="F15" s="11"/>
      <c r="G15" s="11">
        <f>E15-F15</f>
        <v>9</v>
      </c>
      <c r="H15" s="15">
        <f>G15/E15</f>
        <v>1</v>
      </c>
    </row>
    <row r="16" spans="1:8">
      <c r="A16" s="8">
        <v>3</v>
      </c>
      <c r="B16" s="9" t="s">
        <v>660</v>
      </c>
      <c r="C16" s="10"/>
      <c r="D16" s="11"/>
      <c r="E16" s="11"/>
      <c r="F16" s="11"/>
      <c r="G16" s="11"/>
      <c r="H16" s="15"/>
    </row>
    <row r="17" spans="1:8">
      <c r="A17" s="13" t="s">
        <v>706</v>
      </c>
      <c r="B17" s="14" t="s">
        <v>661</v>
      </c>
      <c r="C17" s="10">
        <v>80</v>
      </c>
      <c r="D17" s="11">
        <v>72</v>
      </c>
      <c r="E17" s="11">
        <v>72</v>
      </c>
      <c r="F17" s="11"/>
      <c r="G17" s="11">
        <f t="shared" ref="G17:G26" si="0">E17-F17</f>
        <v>72</v>
      </c>
      <c r="H17" s="15">
        <f t="shared" ref="H17:H26" si="1">G17/E17</f>
        <v>1</v>
      </c>
    </row>
    <row r="18" spans="1:8">
      <c r="A18" s="13" t="s">
        <v>709</v>
      </c>
      <c r="B18" s="14" t="s">
        <v>662</v>
      </c>
      <c r="C18" s="10">
        <v>400</v>
      </c>
      <c r="D18" s="11">
        <v>200</v>
      </c>
      <c r="E18" s="11">
        <v>200</v>
      </c>
      <c r="F18" s="11"/>
      <c r="G18" s="11">
        <f t="shared" si="0"/>
        <v>200</v>
      </c>
      <c r="H18" s="15">
        <f t="shared" si="1"/>
        <v>1</v>
      </c>
    </row>
    <row r="19" spans="1:8">
      <c r="A19" s="13" t="s">
        <v>710</v>
      </c>
      <c r="B19" s="14" t="s">
        <v>663</v>
      </c>
      <c r="C19" s="10">
        <v>100</v>
      </c>
      <c r="D19" s="11">
        <v>50</v>
      </c>
      <c r="E19" s="11">
        <v>50</v>
      </c>
      <c r="F19" s="11"/>
      <c r="G19" s="11">
        <f t="shared" si="0"/>
        <v>50</v>
      </c>
      <c r="H19" s="15">
        <f t="shared" si="1"/>
        <v>1</v>
      </c>
    </row>
    <row r="20" spans="1:8">
      <c r="A20" s="13" t="s">
        <v>712</v>
      </c>
      <c r="B20" s="14" t="s">
        <v>664</v>
      </c>
      <c r="C20" s="10">
        <v>200</v>
      </c>
      <c r="D20" s="11">
        <v>100</v>
      </c>
      <c r="E20" s="11">
        <v>100</v>
      </c>
      <c r="F20" s="11"/>
      <c r="G20" s="11">
        <f t="shared" si="0"/>
        <v>100</v>
      </c>
      <c r="H20" s="15">
        <f t="shared" si="1"/>
        <v>1</v>
      </c>
    </row>
    <row r="21" spans="1:8">
      <c r="A21" s="13" t="s">
        <v>713</v>
      </c>
      <c r="B21" s="14" t="s">
        <v>665</v>
      </c>
      <c r="C21" s="10">
        <v>200</v>
      </c>
      <c r="D21" s="11">
        <v>100</v>
      </c>
      <c r="E21" s="11">
        <v>100</v>
      </c>
      <c r="F21" s="11"/>
      <c r="G21" s="11">
        <f t="shared" si="0"/>
        <v>100</v>
      </c>
      <c r="H21" s="15">
        <f t="shared" si="1"/>
        <v>1</v>
      </c>
    </row>
    <row r="22" spans="1:8">
      <c r="A22" s="13" t="s">
        <v>714</v>
      </c>
      <c r="B22" s="14" t="s">
        <v>666</v>
      </c>
      <c r="C22" s="10">
        <v>100</v>
      </c>
      <c r="D22" s="11">
        <v>50</v>
      </c>
      <c r="E22" s="11">
        <v>50</v>
      </c>
      <c r="F22" s="11"/>
      <c r="G22" s="11">
        <f t="shared" si="0"/>
        <v>50</v>
      </c>
      <c r="H22" s="15">
        <f t="shared" si="1"/>
        <v>1</v>
      </c>
    </row>
    <row r="23" spans="1:8">
      <c r="A23" s="13" t="s">
        <v>715</v>
      </c>
      <c r="B23" s="14" t="s">
        <v>667</v>
      </c>
      <c r="C23" s="10">
        <v>100</v>
      </c>
      <c r="D23" s="11">
        <v>50</v>
      </c>
      <c r="E23" s="11">
        <v>50</v>
      </c>
      <c r="F23" s="11"/>
      <c r="G23" s="11">
        <f t="shared" si="0"/>
        <v>50</v>
      </c>
      <c r="H23" s="15">
        <f t="shared" si="1"/>
        <v>1</v>
      </c>
    </row>
    <row r="24" spans="1:8">
      <c r="A24" s="13" t="s">
        <v>716</v>
      </c>
      <c r="B24" s="14" t="s">
        <v>842</v>
      </c>
      <c r="C24" s="10">
        <v>100</v>
      </c>
      <c r="D24" s="11">
        <v>50</v>
      </c>
      <c r="E24" s="11">
        <v>50</v>
      </c>
      <c r="F24" s="11"/>
      <c r="G24" s="11">
        <f t="shared" si="0"/>
        <v>50</v>
      </c>
      <c r="H24" s="15">
        <f t="shared" si="1"/>
        <v>1</v>
      </c>
    </row>
    <row r="25" spans="1:8">
      <c r="A25" s="13" t="s">
        <v>911</v>
      </c>
      <c r="B25" s="14" t="s">
        <v>843</v>
      </c>
      <c r="C25" s="10">
        <v>200</v>
      </c>
      <c r="D25" s="11">
        <v>100</v>
      </c>
      <c r="E25" s="11">
        <v>100</v>
      </c>
      <c r="F25" s="11"/>
      <c r="G25" s="11">
        <f t="shared" si="0"/>
        <v>100</v>
      </c>
      <c r="H25" s="15">
        <f t="shared" si="1"/>
        <v>1</v>
      </c>
    </row>
    <row r="26" spans="1:8">
      <c r="A26" s="13" t="s">
        <v>501</v>
      </c>
      <c r="B26" s="14" t="s">
        <v>844</v>
      </c>
      <c r="C26" s="10">
        <v>100</v>
      </c>
      <c r="D26" s="11">
        <v>50</v>
      </c>
      <c r="E26" s="11">
        <v>50</v>
      </c>
      <c r="F26" s="11">
        <f>24.27</f>
        <v>24.27</v>
      </c>
      <c r="G26" s="11">
        <f t="shared" si="0"/>
        <v>25.73</v>
      </c>
      <c r="H26" s="15">
        <f t="shared" si="1"/>
        <v>0.51460000000000006</v>
      </c>
    </row>
    <row r="27" spans="1:8">
      <c r="A27" s="8">
        <v>4</v>
      </c>
      <c r="B27" s="9" t="s">
        <v>845</v>
      </c>
      <c r="C27" s="10"/>
      <c r="D27" s="11"/>
      <c r="E27" s="11"/>
      <c r="F27" s="11"/>
      <c r="G27" s="11"/>
      <c r="H27" s="12"/>
    </row>
    <row r="28" spans="1:8">
      <c r="A28" s="13" t="s">
        <v>706</v>
      </c>
      <c r="B28" s="14" t="s">
        <v>708</v>
      </c>
      <c r="C28" s="10">
        <v>10</v>
      </c>
      <c r="D28" s="11">
        <v>10</v>
      </c>
      <c r="E28" s="11">
        <v>10</v>
      </c>
      <c r="F28" s="11"/>
      <c r="G28" s="11">
        <f>E28-F28</f>
        <v>10</v>
      </c>
      <c r="H28" s="15">
        <f>G28/E28</f>
        <v>1</v>
      </c>
    </row>
    <row r="29" spans="1:8">
      <c r="A29" s="13" t="s">
        <v>709</v>
      </c>
      <c r="B29" s="14" t="s">
        <v>846</v>
      </c>
      <c r="C29" s="10">
        <v>500</v>
      </c>
      <c r="D29" s="11">
        <v>500</v>
      </c>
      <c r="E29" s="11">
        <v>500</v>
      </c>
      <c r="F29" s="11"/>
      <c r="G29" s="11">
        <f>E29-F29</f>
        <v>500</v>
      </c>
      <c r="H29" s="15">
        <f>G29/E29</f>
        <v>1</v>
      </c>
    </row>
    <row r="30" spans="1:8">
      <c r="A30" s="13" t="s">
        <v>710</v>
      </c>
      <c r="B30" s="14" t="s">
        <v>847</v>
      </c>
      <c r="C30" s="10">
        <v>100</v>
      </c>
      <c r="D30" s="11">
        <v>100</v>
      </c>
      <c r="E30" s="11">
        <v>100</v>
      </c>
      <c r="F30" s="11"/>
      <c r="G30" s="11">
        <f>E30-F30</f>
        <v>100</v>
      </c>
      <c r="H30" s="15">
        <f>G30/E30</f>
        <v>1</v>
      </c>
    </row>
    <row r="31" spans="1:8">
      <c r="A31" s="8">
        <v>5</v>
      </c>
      <c r="B31" s="9" t="s">
        <v>848</v>
      </c>
      <c r="C31" s="10"/>
      <c r="D31" s="11"/>
      <c r="E31" s="11"/>
      <c r="F31" s="11"/>
      <c r="G31" s="11"/>
      <c r="H31" s="12"/>
    </row>
    <row r="32" spans="1:8">
      <c r="A32" s="13" t="s">
        <v>706</v>
      </c>
      <c r="B32" s="14" t="s">
        <v>849</v>
      </c>
      <c r="C32" s="10">
        <v>400</v>
      </c>
      <c r="D32" s="11">
        <v>400</v>
      </c>
      <c r="E32" s="11">
        <v>400</v>
      </c>
      <c r="F32" s="11"/>
      <c r="G32" s="11">
        <f>E32-F32</f>
        <v>400</v>
      </c>
      <c r="H32" s="15">
        <f>G32/E32</f>
        <v>1</v>
      </c>
    </row>
    <row r="33" spans="1:9">
      <c r="A33" s="13" t="s">
        <v>709</v>
      </c>
      <c r="B33" s="14" t="s">
        <v>850</v>
      </c>
      <c r="C33" s="10">
        <v>0</v>
      </c>
      <c r="D33" s="11">
        <v>0</v>
      </c>
      <c r="E33" s="11">
        <v>0</v>
      </c>
      <c r="F33" s="11"/>
      <c r="G33" s="11">
        <f>E33-F33</f>
        <v>0</v>
      </c>
      <c r="H33" s="15" t="e">
        <f>G33/E33</f>
        <v>#DIV/0!</v>
      </c>
    </row>
    <row r="34" spans="1:9" ht="13.5" thickBot="1">
      <c r="A34" s="13" t="s">
        <v>710</v>
      </c>
      <c r="B34" s="14" t="s">
        <v>675</v>
      </c>
      <c r="C34" s="10">
        <v>100</v>
      </c>
      <c r="D34" s="11">
        <v>100</v>
      </c>
      <c r="E34" s="11">
        <v>100</v>
      </c>
      <c r="F34" s="11">
        <f>87</f>
        <v>87</v>
      </c>
      <c r="G34" s="11">
        <f>E34-F34</f>
        <v>13</v>
      </c>
      <c r="H34" s="15">
        <f>G34/E34</f>
        <v>0.13</v>
      </c>
      <c r="I34" s="112" t="s">
        <v>841</v>
      </c>
    </row>
    <row r="35" spans="1:9">
      <c r="A35" s="16"/>
      <c r="B35" s="17" t="s">
        <v>717</v>
      </c>
      <c r="C35" s="18">
        <f t="shared" ref="C35:H35" si="2">SUM(C6:C34)</f>
        <v>4260</v>
      </c>
      <c r="D35" s="18">
        <f t="shared" si="2"/>
        <v>2800</v>
      </c>
      <c r="E35" s="18">
        <f t="shared" si="2"/>
        <v>2800</v>
      </c>
      <c r="F35" s="18">
        <f t="shared" si="2"/>
        <v>899.84999999999991</v>
      </c>
      <c r="G35" s="18" t="e">
        <f t="shared" si="2"/>
        <v>#VALUE!</v>
      </c>
      <c r="H35" s="18" t="e">
        <f t="shared" si="2"/>
        <v>#VALUE!</v>
      </c>
    </row>
    <row r="36" spans="1:9">
      <c r="A36" s="19"/>
      <c r="B36" s="20" t="s">
        <v>718</v>
      </c>
      <c r="C36" s="21"/>
      <c r="D36" s="22"/>
      <c r="E36" s="22"/>
      <c r="F36" s="23"/>
      <c r="G36" s="24"/>
      <c r="H36" s="25"/>
    </row>
    <row r="37" spans="1:9" ht="13.5" thickBot="1">
      <c r="A37" s="26"/>
      <c r="B37" s="27" t="s">
        <v>719</v>
      </c>
      <c r="C37" s="28"/>
      <c r="D37" s="29"/>
      <c r="E37" s="29"/>
      <c r="F37" s="28"/>
      <c r="G37" s="30"/>
      <c r="H37" s="31"/>
    </row>
    <row r="38" spans="1:9">
      <c r="A38" s="224" t="s">
        <v>500</v>
      </c>
      <c r="B38" s="224"/>
      <c r="C38" s="224"/>
      <c r="D38" s="224"/>
      <c r="E38" s="224"/>
      <c r="F38" s="224"/>
      <c r="G38" s="224"/>
      <c r="H38" s="225"/>
    </row>
    <row r="39" spans="1:9" ht="13.5" thickBot="1">
      <c r="A39" s="3"/>
      <c r="B39" s="4" t="s">
        <v>699</v>
      </c>
      <c r="C39" s="5" t="s">
        <v>700</v>
      </c>
      <c r="D39" s="6" t="s">
        <v>701</v>
      </c>
      <c r="E39" s="6" t="s">
        <v>702</v>
      </c>
      <c r="F39" s="6" t="s">
        <v>703</v>
      </c>
      <c r="G39" s="6" t="s">
        <v>704</v>
      </c>
      <c r="H39" s="7" t="s">
        <v>705</v>
      </c>
    </row>
    <row r="40" spans="1:9">
      <c r="A40" s="8">
        <v>1</v>
      </c>
      <c r="B40" s="9" t="s">
        <v>512</v>
      </c>
      <c r="C40" s="10"/>
      <c r="D40" s="11"/>
      <c r="E40" s="11"/>
      <c r="F40" s="11"/>
      <c r="G40" s="11"/>
      <c r="H40" s="12"/>
    </row>
    <row r="41" spans="1:9">
      <c r="A41" s="13" t="s">
        <v>706</v>
      </c>
      <c r="B41" s="14" t="s">
        <v>711</v>
      </c>
      <c r="C41" s="10">
        <v>3000</v>
      </c>
      <c r="D41" s="11">
        <v>1000</v>
      </c>
      <c r="E41" s="11">
        <v>1000</v>
      </c>
      <c r="F41" s="11">
        <f>1000</f>
        <v>1000</v>
      </c>
      <c r="G41" s="11">
        <f>E41-F41</f>
        <v>0</v>
      </c>
      <c r="H41" s="15">
        <f>G41/E41</f>
        <v>0</v>
      </c>
    </row>
    <row r="42" spans="1:9">
      <c r="A42" s="13" t="s">
        <v>709</v>
      </c>
      <c r="B42" s="14" t="s">
        <v>690</v>
      </c>
      <c r="C42" s="10">
        <v>1000</v>
      </c>
      <c r="D42" s="11">
        <v>1000</v>
      </c>
      <c r="E42" s="11">
        <v>1000</v>
      </c>
      <c r="F42" s="11"/>
      <c r="G42" s="11">
        <f>E42-F42</f>
        <v>1000</v>
      </c>
      <c r="H42" s="15">
        <f>G42/E42</f>
        <v>1</v>
      </c>
    </row>
    <row r="43" spans="1:9">
      <c r="A43" s="13" t="s">
        <v>710</v>
      </c>
      <c r="B43" s="14" t="s">
        <v>502</v>
      </c>
      <c r="C43" s="10">
        <v>500</v>
      </c>
      <c r="D43" s="11">
        <v>250</v>
      </c>
      <c r="E43" s="11">
        <f>250+280</f>
        <v>530</v>
      </c>
      <c r="F43" s="11">
        <f>125+125+125+55</f>
        <v>430</v>
      </c>
      <c r="G43" s="11">
        <f>E43-F43</f>
        <v>100</v>
      </c>
      <c r="H43" s="15">
        <f>G43/E43</f>
        <v>0.18867924528301888</v>
      </c>
    </row>
    <row r="44" spans="1:9">
      <c r="A44" s="13" t="s">
        <v>712</v>
      </c>
      <c r="B44" s="14" t="s">
        <v>503</v>
      </c>
      <c r="C44" s="10">
        <v>280</v>
      </c>
      <c r="D44" s="11">
        <v>280</v>
      </c>
      <c r="E44" s="11">
        <v>0</v>
      </c>
      <c r="F44" s="11"/>
      <c r="G44" s="11">
        <f>E44-F44</f>
        <v>0</v>
      </c>
      <c r="H44" s="15" t="e">
        <f>G44/E44</f>
        <v>#DIV/0!</v>
      </c>
      <c r="I44">
        <f>125+55</f>
        <v>180</v>
      </c>
    </row>
    <row r="45" spans="1:9">
      <c r="A45" s="13" t="s">
        <v>713</v>
      </c>
      <c r="B45" s="14" t="s">
        <v>708</v>
      </c>
      <c r="C45" s="10">
        <v>18</v>
      </c>
      <c r="D45" s="11">
        <v>12.5</v>
      </c>
      <c r="E45" s="11">
        <v>12.5</v>
      </c>
      <c r="F45" s="11"/>
      <c r="G45" s="11">
        <f>E45-F45</f>
        <v>12.5</v>
      </c>
      <c r="H45" s="15">
        <f>G45/E45</f>
        <v>1</v>
      </c>
    </row>
    <row r="46" spans="1:9">
      <c r="A46" s="8">
        <v>2</v>
      </c>
      <c r="B46" s="9" t="s">
        <v>504</v>
      </c>
      <c r="C46" s="10"/>
      <c r="D46" s="11"/>
      <c r="E46" s="11"/>
      <c r="F46" s="11"/>
      <c r="G46" s="11"/>
      <c r="H46" s="12"/>
    </row>
    <row r="47" spans="1:9">
      <c r="A47" s="13" t="s">
        <v>706</v>
      </c>
      <c r="B47" s="14" t="s">
        <v>678</v>
      </c>
      <c r="C47" s="10">
        <v>3150</v>
      </c>
      <c r="D47" s="11" t="s">
        <v>491</v>
      </c>
      <c r="E47" s="11" t="s">
        <v>491</v>
      </c>
      <c r="F47" s="11"/>
      <c r="G47" s="11" t="e">
        <f>E47-F47</f>
        <v>#VALUE!</v>
      </c>
      <c r="H47" s="15" t="e">
        <f>G47/E47</f>
        <v>#VALUE!</v>
      </c>
    </row>
    <row r="48" spans="1:9">
      <c r="A48" s="8">
        <v>2</v>
      </c>
      <c r="B48" s="9" t="s">
        <v>505</v>
      </c>
      <c r="C48" s="10"/>
      <c r="D48" s="11"/>
      <c r="E48" s="11"/>
      <c r="F48" s="11"/>
      <c r="G48" s="11"/>
      <c r="H48" s="15"/>
    </row>
    <row r="49" spans="1:8">
      <c r="A49" s="13" t="s">
        <v>706</v>
      </c>
      <c r="B49" s="14" t="s">
        <v>506</v>
      </c>
      <c r="C49" s="10">
        <v>2500</v>
      </c>
      <c r="D49" s="11">
        <v>1250</v>
      </c>
      <c r="E49" s="11">
        <v>1250</v>
      </c>
      <c r="F49" s="11"/>
      <c r="G49" s="11">
        <f>E49-F49</f>
        <v>1250</v>
      </c>
      <c r="H49" s="15">
        <f>G49/E49</f>
        <v>1</v>
      </c>
    </row>
    <row r="50" spans="1:8">
      <c r="A50" s="13" t="s">
        <v>709</v>
      </c>
      <c r="B50" s="14" t="s">
        <v>708</v>
      </c>
      <c r="C50" s="10">
        <v>9</v>
      </c>
      <c r="D50" s="11">
        <v>9</v>
      </c>
      <c r="E50" s="11">
        <v>9</v>
      </c>
      <c r="F50" s="11"/>
      <c r="G50" s="11">
        <f>E50-F50</f>
        <v>9</v>
      </c>
      <c r="H50" s="15">
        <f>G50/E50</f>
        <v>1</v>
      </c>
    </row>
    <row r="51" spans="1:8">
      <c r="A51" s="8">
        <v>3</v>
      </c>
      <c r="B51" s="9" t="s">
        <v>507</v>
      </c>
      <c r="C51" s="10"/>
      <c r="D51" s="11"/>
      <c r="E51" s="11"/>
      <c r="F51" s="11"/>
      <c r="G51" s="11"/>
      <c r="H51" s="12"/>
    </row>
    <row r="52" spans="1:8">
      <c r="A52" s="13" t="s">
        <v>706</v>
      </c>
      <c r="B52" s="14" t="s">
        <v>508</v>
      </c>
      <c r="C52" s="10">
        <v>1050</v>
      </c>
      <c r="D52" s="11">
        <v>1050</v>
      </c>
      <c r="E52" s="11">
        <v>1050</v>
      </c>
      <c r="F52" s="11">
        <f>350+400</f>
        <v>750</v>
      </c>
      <c r="G52" s="11">
        <f>E52-F52</f>
        <v>300</v>
      </c>
      <c r="H52" s="15">
        <f>G52/E52</f>
        <v>0.2857142857142857</v>
      </c>
    </row>
    <row r="53" spans="1:8">
      <c r="A53" s="13" t="s">
        <v>709</v>
      </c>
      <c r="B53" s="14" t="s">
        <v>509</v>
      </c>
      <c r="C53" s="10">
        <v>595</v>
      </c>
      <c r="D53" s="11">
        <v>595</v>
      </c>
      <c r="E53" s="11">
        <v>595</v>
      </c>
      <c r="F53" s="11">
        <f>148</f>
        <v>148</v>
      </c>
      <c r="G53" s="11">
        <f>E53-F53</f>
        <v>447</v>
      </c>
      <c r="H53" s="15">
        <f>G53/E53</f>
        <v>0.75126050420168067</v>
      </c>
    </row>
    <row r="54" spans="1:8">
      <c r="A54" s="13" t="s">
        <v>710</v>
      </c>
      <c r="B54" s="14" t="s">
        <v>510</v>
      </c>
      <c r="C54" s="10">
        <v>27</v>
      </c>
      <c r="D54" s="11">
        <v>27</v>
      </c>
      <c r="E54" s="11">
        <v>27</v>
      </c>
      <c r="F54" s="11">
        <f>9</f>
        <v>9</v>
      </c>
      <c r="G54" s="11">
        <f>E54-F54</f>
        <v>18</v>
      </c>
      <c r="H54" s="15">
        <f>G54/E54</f>
        <v>0.66666666666666663</v>
      </c>
    </row>
    <row r="55" spans="1:8">
      <c r="A55" s="8">
        <v>4</v>
      </c>
      <c r="B55" s="9" t="s">
        <v>686</v>
      </c>
      <c r="C55" s="10"/>
      <c r="D55" s="11"/>
      <c r="E55" s="11"/>
      <c r="F55" s="11"/>
      <c r="G55" s="11"/>
      <c r="H55" s="12"/>
    </row>
    <row r="56" spans="1:8">
      <c r="A56" s="13" t="s">
        <v>706</v>
      </c>
      <c r="B56" s="14" t="s">
        <v>711</v>
      </c>
      <c r="C56" s="10">
        <v>50</v>
      </c>
      <c r="D56" s="11">
        <v>50</v>
      </c>
      <c r="E56" s="11">
        <v>0</v>
      </c>
      <c r="F56" s="11"/>
      <c r="G56" s="11">
        <f>E56-F56</f>
        <v>0</v>
      </c>
      <c r="H56" s="15" t="e">
        <f>G56/E56</f>
        <v>#DIV/0!</v>
      </c>
    </row>
    <row r="57" spans="1:8" ht="13.5" thickBot="1">
      <c r="A57" s="13" t="s">
        <v>709</v>
      </c>
      <c r="B57" s="14" t="s">
        <v>708</v>
      </c>
      <c r="C57" s="10">
        <v>9</v>
      </c>
      <c r="D57" s="11">
        <v>9</v>
      </c>
      <c r="E57" s="11">
        <v>9</v>
      </c>
      <c r="F57" s="11"/>
      <c r="G57" s="11">
        <f>E57-F57</f>
        <v>9</v>
      </c>
      <c r="H57" s="15">
        <f>G57/E57</f>
        <v>1</v>
      </c>
    </row>
    <row r="58" spans="1:8">
      <c r="A58" s="16"/>
      <c r="B58" s="17" t="s">
        <v>717</v>
      </c>
      <c r="C58" s="18">
        <f t="shared" ref="C58:H58" si="3">SUM(C41:C57)</f>
        <v>12188</v>
      </c>
      <c r="D58" s="18">
        <f t="shared" si="3"/>
        <v>5532.5</v>
      </c>
      <c r="E58" s="18">
        <f t="shared" si="3"/>
        <v>5482.5</v>
      </c>
      <c r="F58" s="18">
        <f t="shared" si="3"/>
        <v>2337</v>
      </c>
      <c r="G58" s="18" t="e">
        <f t="shared" si="3"/>
        <v>#VALUE!</v>
      </c>
      <c r="H58" s="18" t="e">
        <f t="shared" si="3"/>
        <v>#DIV/0!</v>
      </c>
    </row>
    <row r="59" spans="1:8">
      <c r="A59" s="19"/>
      <c r="B59" s="20" t="s">
        <v>718</v>
      </c>
      <c r="C59" s="21"/>
      <c r="D59" s="22"/>
      <c r="E59" s="22"/>
      <c r="F59" s="23"/>
      <c r="G59" s="24"/>
      <c r="H59" s="25"/>
    </row>
    <row r="60" spans="1:8" ht="13.5" thickBot="1">
      <c r="A60" s="26"/>
      <c r="B60" s="27" t="s">
        <v>719</v>
      </c>
      <c r="C60" s="28"/>
      <c r="D60" s="29"/>
      <c r="E60" s="29"/>
      <c r="F60" s="28"/>
      <c r="G60" s="30"/>
      <c r="H60" s="31"/>
    </row>
    <row r="61" spans="1:8">
      <c r="A61" s="224" t="s">
        <v>511</v>
      </c>
      <c r="B61" s="224"/>
      <c r="C61" s="224"/>
      <c r="D61" s="224"/>
      <c r="E61" s="224"/>
      <c r="F61" s="224"/>
      <c r="G61" s="224"/>
      <c r="H61" s="225"/>
    </row>
    <row r="62" spans="1:8" ht="13.5" thickBot="1">
      <c r="A62" s="3"/>
      <c r="B62" s="4" t="s">
        <v>699</v>
      </c>
      <c r="C62" s="5" t="s">
        <v>700</v>
      </c>
      <c r="D62" s="6" t="s">
        <v>701</v>
      </c>
      <c r="E62" s="6" t="s">
        <v>702</v>
      </c>
      <c r="F62" s="6" t="s">
        <v>703</v>
      </c>
      <c r="G62" s="6" t="s">
        <v>704</v>
      </c>
      <c r="H62" s="7" t="s">
        <v>705</v>
      </c>
    </row>
    <row r="63" spans="1:8">
      <c r="A63" s="8">
        <v>1</v>
      </c>
      <c r="B63" s="9" t="s">
        <v>686</v>
      </c>
      <c r="C63" s="10"/>
      <c r="D63" s="11"/>
      <c r="E63" s="11"/>
      <c r="F63" s="11"/>
      <c r="G63" s="11"/>
      <c r="H63" s="12"/>
    </row>
    <row r="64" spans="1:8">
      <c r="A64" s="13" t="s">
        <v>706</v>
      </c>
      <c r="B64" s="14" t="s">
        <v>513</v>
      </c>
      <c r="C64" s="10">
        <v>50</v>
      </c>
      <c r="D64" s="11">
        <v>50</v>
      </c>
      <c r="E64" s="11">
        <v>50</v>
      </c>
      <c r="F64" s="11"/>
      <c r="G64" s="11">
        <f>E64-F64</f>
        <v>50</v>
      </c>
      <c r="H64" s="15">
        <f>G64/E64</f>
        <v>1</v>
      </c>
    </row>
    <row r="65" spans="1:9">
      <c r="A65" s="13" t="s">
        <v>709</v>
      </c>
      <c r="B65" s="14" t="s">
        <v>708</v>
      </c>
      <c r="C65" s="10">
        <v>9</v>
      </c>
      <c r="D65" s="11">
        <v>9</v>
      </c>
      <c r="E65" s="11">
        <v>9</v>
      </c>
      <c r="F65" s="11"/>
      <c r="G65" s="11">
        <f>E65-F65</f>
        <v>9</v>
      </c>
      <c r="H65" s="15">
        <f>G65/E65</f>
        <v>1</v>
      </c>
    </row>
    <row r="66" spans="1:9">
      <c r="A66" s="8">
        <v>2</v>
      </c>
      <c r="B66" s="9" t="s">
        <v>514</v>
      </c>
      <c r="C66" s="10"/>
      <c r="D66" s="11"/>
      <c r="E66" s="11"/>
      <c r="F66" s="11"/>
      <c r="G66" s="11"/>
      <c r="H66" s="12"/>
    </row>
    <row r="67" spans="1:9">
      <c r="A67" s="13" t="s">
        <v>706</v>
      </c>
      <c r="B67" s="14" t="s">
        <v>515</v>
      </c>
      <c r="C67" s="10">
        <v>500</v>
      </c>
      <c r="D67" s="11">
        <v>250</v>
      </c>
      <c r="E67" s="11">
        <v>250</v>
      </c>
      <c r="F67" s="11">
        <f>224.85+21.61</f>
        <v>246.45999999999998</v>
      </c>
      <c r="G67" s="11">
        <f>E67-F67</f>
        <v>3.5400000000000205</v>
      </c>
      <c r="H67" s="15">
        <f>G67/E67</f>
        <v>1.4160000000000082E-2</v>
      </c>
    </row>
    <row r="68" spans="1:9">
      <c r="A68" s="13" t="s">
        <v>706</v>
      </c>
      <c r="B68" s="14" t="s">
        <v>516</v>
      </c>
      <c r="C68" s="10">
        <v>40</v>
      </c>
      <c r="D68" s="11">
        <v>40</v>
      </c>
      <c r="E68" s="11">
        <v>40</v>
      </c>
      <c r="F68" s="11">
        <f>23.54+19.61+5.3-8.45</f>
        <v>40</v>
      </c>
      <c r="G68" s="11">
        <f>E68-F68</f>
        <v>0</v>
      </c>
      <c r="H68" s="15">
        <f>G68/E68</f>
        <v>0</v>
      </c>
    </row>
    <row r="69" spans="1:9">
      <c r="A69" s="13" t="s">
        <v>709</v>
      </c>
      <c r="B69" s="14" t="s">
        <v>708</v>
      </c>
      <c r="C69" s="10">
        <v>9</v>
      </c>
      <c r="D69" s="11">
        <v>9</v>
      </c>
      <c r="E69" s="11">
        <v>9</v>
      </c>
      <c r="F69" s="11"/>
      <c r="G69" s="11">
        <f>E69-F69</f>
        <v>9</v>
      </c>
      <c r="H69" s="15">
        <f>G69/E69</f>
        <v>1</v>
      </c>
    </row>
    <row r="70" spans="1:9" ht="38.25">
      <c r="A70" s="8">
        <v>3</v>
      </c>
      <c r="B70" s="9" t="s">
        <v>517</v>
      </c>
      <c r="C70" s="10"/>
      <c r="D70" s="11"/>
      <c r="E70" s="11"/>
      <c r="F70" s="11"/>
      <c r="G70" s="11"/>
      <c r="H70" s="12"/>
    </row>
    <row r="71" spans="1:9">
      <c r="A71" s="13" t="s">
        <v>706</v>
      </c>
      <c r="B71" s="14" t="s">
        <v>518</v>
      </c>
      <c r="C71" s="10">
        <v>60</v>
      </c>
      <c r="D71" s="11">
        <v>50</v>
      </c>
      <c r="E71" s="11">
        <v>50</v>
      </c>
      <c r="F71" s="11"/>
      <c r="G71" s="11">
        <f>E71-F71</f>
        <v>50</v>
      </c>
      <c r="H71" s="15">
        <f>G71/E71</f>
        <v>1</v>
      </c>
    </row>
    <row r="72" spans="1:9">
      <c r="A72" s="13" t="s">
        <v>709</v>
      </c>
      <c r="B72" s="14" t="s">
        <v>519</v>
      </c>
      <c r="C72" s="10">
        <v>20</v>
      </c>
      <c r="D72" s="11">
        <v>20</v>
      </c>
      <c r="E72" s="11">
        <v>20</v>
      </c>
      <c r="F72" s="11"/>
      <c r="G72" s="11">
        <f>E72-F72</f>
        <v>20</v>
      </c>
      <c r="H72" s="15">
        <f>G72/E72</f>
        <v>1</v>
      </c>
    </row>
    <row r="73" spans="1:9">
      <c r="A73" s="13" t="s">
        <v>710</v>
      </c>
      <c r="B73" s="14" t="s">
        <v>520</v>
      </c>
      <c r="C73" s="10">
        <v>50</v>
      </c>
      <c r="D73" s="11">
        <v>50</v>
      </c>
      <c r="E73" s="11">
        <v>50</v>
      </c>
      <c r="F73" s="11">
        <f>38+11.67</f>
        <v>49.67</v>
      </c>
      <c r="G73" s="11">
        <f>E73-F73</f>
        <v>0.32999999999999829</v>
      </c>
      <c r="H73" s="15">
        <f>G73/E73</f>
        <v>6.5999999999999661E-3</v>
      </c>
      <c r="I73" s="112" t="s">
        <v>385</v>
      </c>
    </row>
    <row r="74" spans="1:9">
      <c r="A74" s="13" t="s">
        <v>710</v>
      </c>
      <c r="B74" s="14" t="s">
        <v>708</v>
      </c>
      <c r="C74" s="10">
        <v>9</v>
      </c>
      <c r="D74" s="11">
        <v>9</v>
      </c>
      <c r="E74" s="11">
        <v>9</v>
      </c>
      <c r="F74" s="11"/>
      <c r="G74" s="11">
        <f>E74-F74</f>
        <v>9</v>
      </c>
      <c r="H74" s="15">
        <f>G74/E74</f>
        <v>1</v>
      </c>
    </row>
    <row r="75" spans="1:9">
      <c r="A75" s="8">
        <v>3</v>
      </c>
      <c r="B75" s="9" t="s">
        <v>521</v>
      </c>
      <c r="C75" s="10"/>
      <c r="D75" s="11"/>
      <c r="E75" s="11"/>
      <c r="F75" s="11"/>
      <c r="G75" s="11"/>
      <c r="H75" s="12"/>
    </row>
    <row r="76" spans="1:9">
      <c r="A76" s="13" t="s">
        <v>706</v>
      </c>
      <c r="B76" s="14" t="s">
        <v>522</v>
      </c>
      <c r="C76" s="10">
        <v>30</v>
      </c>
      <c r="D76" s="11" t="s">
        <v>405</v>
      </c>
      <c r="E76" s="11" t="s">
        <v>405</v>
      </c>
      <c r="F76" s="11"/>
      <c r="G76" s="11" t="e">
        <f>E76-F76</f>
        <v>#VALUE!</v>
      </c>
      <c r="H76" s="15" t="e">
        <f>G76/E76</f>
        <v>#VALUE!</v>
      </c>
    </row>
    <row r="77" spans="1:9">
      <c r="A77" s="13" t="s">
        <v>709</v>
      </c>
      <c r="B77" s="14" t="s">
        <v>513</v>
      </c>
      <c r="C77" s="10">
        <v>60</v>
      </c>
      <c r="D77" s="11">
        <v>60</v>
      </c>
      <c r="E77" s="11">
        <v>60</v>
      </c>
      <c r="F77" s="11"/>
      <c r="G77" s="11">
        <f>E77-F77</f>
        <v>60</v>
      </c>
      <c r="H77" s="15">
        <f>G77/E77</f>
        <v>1</v>
      </c>
      <c r="I77" s="112" t="s">
        <v>406</v>
      </c>
    </row>
    <row r="78" spans="1:9">
      <c r="A78" s="13" t="s">
        <v>710</v>
      </c>
      <c r="B78" s="14" t="s">
        <v>708</v>
      </c>
      <c r="C78" s="10">
        <v>36</v>
      </c>
      <c r="D78" s="11">
        <v>36</v>
      </c>
      <c r="E78" s="11">
        <v>36</v>
      </c>
      <c r="F78" s="11"/>
      <c r="G78" s="11">
        <f>E78-F78</f>
        <v>36</v>
      </c>
      <c r="H78" s="15">
        <f>G78/E78</f>
        <v>1</v>
      </c>
    </row>
    <row r="79" spans="1:9">
      <c r="A79" s="13" t="s">
        <v>710</v>
      </c>
      <c r="B79" s="14" t="s">
        <v>523</v>
      </c>
      <c r="C79" s="10">
        <v>50</v>
      </c>
      <c r="D79" s="11">
        <v>0</v>
      </c>
      <c r="E79" s="11">
        <v>0</v>
      </c>
      <c r="F79" s="11"/>
      <c r="G79" s="11">
        <f>E79-F79</f>
        <v>0</v>
      </c>
      <c r="H79" s="15" t="e">
        <f>G79/E79</f>
        <v>#DIV/0!</v>
      </c>
    </row>
    <row r="80" spans="1:9">
      <c r="A80" s="8">
        <v>4</v>
      </c>
      <c r="B80" s="9" t="s">
        <v>524</v>
      </c>
      <c r="C80" s="10"/>
      <c r="D80" s="11"/>
      <c r="E80" s="11"/>
      <c r="F80" s="11"/>
      <c r="G80" s="11"/>
      <c r="H80" s="12"/>
    </row>
    <row r="81" spans="1:9">
      <c r="A81" s="13" t="s">
        <v>706</v>
      </c>
      <c r="B81" s="14" t="s">
        <v>711</v>
      </c>
      <c r="C81" s="10">
        <v>100</v>
      </c>
      <c r="D81" s="11">
        <v>100</v>
      </c>
      <c r="E81" s="11">
        <v>100</v>
      </c>
      <c r="F81" s="11"/>
      <c r="G81" s="11">
        <f>E81-F81</f>
        <v>100</v>
      </c>
      <c r="H81" s="15">
        <f>G81/E81</f>
        <v>1</v>
      </c>
      <c r="I81" s="113"/>
    </row>
    <row r="82" spans="1:9" ht="13.5" thickBot="1">
      <c r="A82" s="13" t="s">
        <v>709</v>
      </c>
      <c r="B82" s="14" t="s">
        <v>708</v>
      </c>
      <c r="C82" s="10">
        <v>9</v>
      </c>
      <c r="D82" s="11">
        <v>9</v>
      </c>
      <c r="E82" s="11">
        <v>9</v>
      </c>
      <c r="F82" s="11"/>
      <c r="G82" s="11">
        <f>E82-F82</f>
        <v>9</v>
      </c>
      <c r="H82" s="15">
        <f>G82/E82</f>
        <v>1</v>
      </c>
    </row>
    <row r="83" spans="1:9">
      <c r="A83" s="16"/>
      <c r="B83" s="17" t="s">
        <v>717</v>
      </c>
      <c r="C83" s="18">
        <f>SUM(C64:C82)</f>
        <v>1032</v>
      </c>
      <c r="D83" s="18">
        <f>SUM(D64:D69)</f>
        <v>358</v>
      </c>
      <c r="E83" s="18">
        <f>SUM(E64:E68)</f>
        <v>349</v>
      </c>
      <c r="F83" s="18">
        <f>SUM(F64:F68)</f>
        <v>286.45999999999998</v>
      </c>
      <c r="G83" s="18">
        <f>SUM(G64:G68)</f>
        <v>62.54000000000002</v>
      </c>
      <c r="H83" s="36">
        <f>G83/E83</f>
        <v>0.17919770773638974</v>
      </c>
    </row>
    <row r="84" spans="1:9">
      <c r="A84" s="19"/>
      <c r="B84" s="20" t="s">
        <v>718</v>
      </c>
      <c r="C84" s="21"/>
      <c r="D84" s="22"/>
      <c r="E84" s="22"/>
      <c r="F84" s="23"/>
      <c r="G84" s="24"/>
      <c r="H84" s="25"/>
    </row>
    <row r="85" spans="1:9" ht="13.5" thickBot="1">
      <c r="A85" s="26"/>
      <c r="B85" s="27" t="s">
        <v>719</v>
      </c>
      <c r="C85" s="28"/>
      <c r="D85" s="29"/>
      <c r="E85" s="29"/>
      <c r="F85" s="28"/>
      <c r="G85" s="30"/>
      <c r="H85" s="31"/>
    </row>
    <row r="86" spans="1:9">
      <c r="A86" s="224" t="s">
        <v>525</v>
      </c>
      <c r="B86" s="224"/>
      <c r="C86" s="224"/>
      <c r="D86" s="224"/>
      <c r="E86" s="224"/>
      <c r="F86" s="224"/>
      <c r="G86" s="224"/>
      <c r="H86" s="225"/>
    </row>
    <row r="87" spans="1:9" ht="13.5" thickBot="1">
      <c r="A87" s="3"/>
      <c r="B87" s="4" t="s">
        <v>699</v>
      </c>
      <c r="C87" s="5" t="s">
        <v>700</v>
      </c>
      <c r="D87" s="6" t="s">
        <v>701</v>
      </c>
      <c r="E87" s="6" t="s">
        <v>702</v>
      </c>
      <c r="F87" s="6" t="s">
        <v>703</v>
      </c>
      <c r="G87" s="6" t="s">
        <v>704</v>
      </c>
      <c r="H87" s="7" t="s">
        <v>705</v>
      </c>
    </row>
    <row r="88" spans="1:9">
      <c r="A88" s="8">
        <v>1</v>
      </c>
      <c r="B88" s="9" t="s">
        <v>526</v>
      </c>
      <c r="C88" s="10"/>
      <c r="D88" s="11"/>
      <c r="E88" s="11"/>
      <c r="F88" s="11"/>
      <c r="G88" s="11"/>
      <c r="H88" s="12"/>
    </row>
    <row r="89" spans="1:9">
      <c r="A89" s="13" t="s">
        <v>706</v>
      </c>
      <c r="B89" s="14" t="s">
        <v>527</v>
      </c>
      <c r="C89" s="10">
        <v>300</v>
      </c>
      <c r="D89" s="11">
        <v>300</v>
      </c>
      <c r="E89" s="11">
        <v>300</v>
      </c>
      <c r="F89" s="11"/>
      <c r="G89" s="11">
        <f>E89-F89</f>
        <v>300</v>
      </c>
      <c r="H89" s="15">
        <f>G89/E89</f>
        <v>1</v>
      </c>
    </row>
    <row r="90" spans="1:9">
      <c r="A90" s="13" t="s">
        <v>709</v>
      </c>
      <c r="B90" s="14" t="s">
        <v>528</v>
      </c>
      <c r="C90" s="10">
        <v>125</v>
      </c>
      <c r="D90" s="11">
        <v>125</v>
      </c>
      <c r="E90" s="11">
        <v>125</v>
      </c>
      <c r="F90" s="11"/>
      <c r="G90" s="11">
        <f>E90-F90</f>
        <v>125</v>
      </c>
      <c r="H90" s="15">
        <f>G90/E90</f>
        <v>1</v>
      </c>
    </row>
    <row r="91" spans="1:9">
      <c r="A91" s="13" t="s">
        <v>706</v>
      </c>
      <c r="B91" s="14" t="s">
        <v>516</v>
      </c>
      <c r="C91" s="10">
        <v>50</v>
      </c>
      <c r="D91" s="11">
        <v>50</v>
      </c>
      <c r="E91" s="11">
        <v>50</v>
      </c>
      <c r="F91" s="11"/>
      <c r="G91" s="11">
        <f>E91-F91</f>
        <v>50</v>
      </c>
      <c r="H91" s="15">
        <f>G91/E91</f>
        <v>1</v>
      </c>
    </row>
    <row r="92" spans="1:9">
      <c r="A92" s="13" t="s">
        <v>706</v>
      </c>
      <c r="B92" s="14" t="s">
        <v>708</v>
      </c>
      <c r="C92" s="10">
        <v>9</v>
      </c>
      <c r="D92" s="11">
        <v>9</v>
      </c>
      <c r="E92" s="11">
        <v>9</v>
      </c>
      <c r="F92" s="11"/>
      <c r="G92" s="11">
        <f>E92-F92</f>
        <v>9</v>
      </c>
      <c r="H92" s="15">
        <f>G92/E92</f>
        <v>1</v>
      </c>
    </row>
    <row r="93" spans="1:9" ht="25.5">
      <c r="A93" s="8">
        <v>3</v>
      </c>
      <c r="B93" s="9" t="s">
        <v>529</v>
      </c>
      <c r="C93" s="10"/>
      <c r="D93" s="11"/>
      <c r="E93" s="11"/>
      <c r="F93" s="11"/>
      <c r="G93" s="11"/>
      <c r="H93" s="12"/>
    </row>
    <row r="94" spans="1:9">
      <c r="A94" s="13" t="s">
        <v>706</v>
      </c>
      <c r="B94" s="14" t="s">
        <v>530</v>
      </c>
      <c r="C94" s="10">
        <v>2000</v>
      </c>
      <c r="D94" s="11">
        <v>1000</v>
      </c>
      <c r="E94" s="11">
        <v>1000</v>
      </c>
      <c r="F94" s="11"/>
      <c r="G94" s="11">
        <f>E94-F94</f>
        <v>1000</v>
      </c>
      <c r="H94" s="15">
        <f>G94/E94</f>
        <v>1</v>
      </c>
    </row>
    <row r="95" spans="1:9">
      <c r="A95" s="13" t="s">
        <v>709</v>
      </c>
      <c r="B95" s="14" t="s">
        <v>531</v>
      </c>
      <c r="C95" s="10">
        <v>250</v>
      </c>
      <c r="D95" s="11">
        <v>200</v>
      </c>
      <c r="E95" s="11">
        <v>200</v>
      </c>
      <c r="F95" s="11"/>
      <c r="G95" s="11">
        <f>E95-F95</f>
        <v>200</v>
      </c>
      <c r="H95" s="15">
        <f>G95/E95</f>
        <v>1</v>
      </c>
    </row>
    <row r="96" spans="1:9">
      <c r="A96" s="13" t="s">
        <v>710</v>
      </c>
      <c r="B96" s="14" t="s">
        <v>532</v>
      </c>
      <c r="C96" s="10">
        <v>150</v>
      </c>
      <c r="D96" s="11">
        <v>150</v>
      </c>
      <c r="E96" s="11">
        <v>150</v>
      </c>
      <c r="F96" s="11"/>
      <c r="G96" s="11">
        <f>E96-F96</f>
        <v>150</v>
      </c>
      <c r="H96" s="15">
        <f>G96/E96</f>
        <v>1</v>
      </c>
    </row>
    <row r="97" spans="1:8">
      <c r="A97" s="13" t="s">
        <v>710</v>
      </c>
      <c r="B97" s="14" t="s">
        <v>506</v>
      </c>
      <c r="C97" s="10">
        <v>100</v>
      </c>
      <c r="D97" s="11">
        <v>100</v>
      </c>
      <c r="E97" s="11">
        <v>100</v>
      </c>
      <c r="F97" s="11"/>
      <c r="G97" s="11">
        <f>E97-F97</f>
        <v>100</v>
      </c>
      <c r="H97" s="15">
        <f>G97/E97</f>
        <v>1</v>
      </c>
    </row>
    <row r="98" spans="1:8" ht="13.5" thickBot="1">
      <c r="A98" s="13" t="s">
        <v>709</v>
      </c>
      <c r="B98" s="14" t="s">
        <v>708</v>
      </c>
      <c r="C98" s="10">
        <v>12.5</v>
      </c>
      <c r="D98" s="11">
        <v>12.5</v>
      </c>
      <c r="E98" s="11">
        <v>12.5</v>
      </c>
      <c r="F98" s="11"/>
      <c r="G98" s="11">
        <f>E98-F98</f>
        <v>12.5</v>
      </c>
      <c r="H98" s="15">
        <f>G98/E98</f>
        <v>1</v>
      </c>
    </row>
    <row r="99" spans="1:8">
      <c r="A99" s="16"/>
      <c r="B99" s="17" t="s">
        <v>717</v>
      </c>
      <c r="C99" s="18">
        <f t="shared" ref="C99:H99" si="4">SUM(C89:C98)</f>
        <v>2996.5</v>
      </c>
      <c r="D99" s="18">
        <f t="shared" si="4"/>
        <v>1946.5</v>
      </c>
      <c r="E99" s="18">
        <f t="shared" si="4"/>
        <v>1946.5</v>
      </c>
      <c r="F99" s="18">
        <f t="shared" si="4"/>
        <v>0</v>
      </c>
      <c r="G99" s="18">
        <f t="shared" si="4"/>
        <v>1946.5</v>
      </c>
      <c r="H99" s="18">
        <f t="shared" si="4"/>
        <v>9</v>
      </c>
    </row>
    <row r="100" spans="1:8">
      <c r="A100" s="19"/>
      <c r="B100" s="20" t="s">
        <v>718</v>
      </c>
      <c r="C100" s="21"/>
      <c r="D100" s="22"/>
      <c r="E100" s="22"/>
      <c r="F100" s="23"/>
      <c r="G100" s="24"/>
      <c r="H100" s="25"/>
    </row>
    <row r="101" spans="1:8" ht="13.5" thickBot="1">
      <c r="A101" s="26"/>
      <c r="B101" s="27" t="s">
        <v>719</v>
      </c>
      <c r="C101" s="28"/>
      <c r="D101" s="29"/>
      <c r="E101" s="29"/>
      <c r="F101" s="28"/>
      <c r="G101" s="30"/>
      <c r="H101" s="31"/>
    </row>
    <row r="102" spans="1:8">
      <c r="A102" s="224" t="s">
        <v>533</v>
      </c>
      <c r="B102" s="224"/>
      <c r="C102" s="224"/>
      <c r="D102" s="224"/>
      <c r="E102" s="224"/>
      <c r="F102" s="224"/>
      <c r="G102" s="224"/>
      <c r="H102" s="225"/>
    </row>
    <row r="103" spans="1:8" ht="13.5" thickBot="1">
      <c r="A103" s="3"/>
      <c r="B103" s="4" t="s">
        <v>699</v>
      </c>
      <c r="C103" s="5" t="s">
        <v>700</v>
      </c>
      <c r="D103" s="6" t="s">
        <v>701</v>
      </c>
      <c r="E103" s="6" t="s">
        <v>702</v>
      </c>
      <c r="F103" s="6" t="s">
        <v>703</v>
      </c>
      <c r="G103" s="6" t="s">
        <v>704</v>
      </c>
      <c r="H103" s="7" t="s">
        <v>705</v>
      </c>
    </row>
    <row r="104" spans="1:8">
      <c r="A104" s="8">
        <v>1</v>
      </c>
      <c r="B104" s="9" t="s">
        <v>534</v>
      </c>
      <c r="C104" s="10"/>
      <c r="D104" s="11"/>
      <c r="E104" s="11"/>
      <c r="F104" s="11"/>
      <c r="G104" s="11"/>
      <c r="H104" s="12"/>
    </row>
    <row r="105" spans="1:8">
      <c r="A105" s="13" t="s">
        <v>706</v>
      </c>
      <c r="B105" s="14" t="s">
        <v>708</v>
      </c>
      <c r="C105" s="10">
        <v>9</v>
      </c>
      <c r="D105" s="11">
        <v>9</v>
      </c>
      <c r="E105" s="11">
        <v>9</v>
      </c>
      <c r="F105" s="11"/>
      <c r="G105" s="11">
        <f>E105-F105</f>
        <v>9</v>
      </c>
      <c r="H105" s="15">
        <f>G105/E105</f>
        <v>1</v>
      </c>
    </row>
    <row r="106" spans="1:8">
      <c r="A106" s="13" t="s">
        <v>709</v>
      </c>
      <c r="B106" s="14" t="s">
        <v>535</v>
      </c>
      <c r="C106" s="10">
        <v>50</v>
      </c>
      <c r="D106" s="11">
        <v>50</v>
      </c>
      <c r="E106" s="11">
        <v>50</v>
      </c>
      <c r="F106" s="11"/>
      <c r="G106" s="11">
        <f>E106-F106</f>
        <v>50</v>
      </c>
      <c r="H106" s="15">
        <f>G106/E106</f>
        <v>1</v>
      </c>
    </row>
    <row r="107" spans="1:8">
      <c r="A107" s="8">
        <v>2</v>
      </c>
      <c r="B107" s="9" t="s">
        <v>536</v>
      </c>
      <c r="C107" s="10"/>
      <c r="D107" s="11"/>
      <c r="E107" s="11"/>
      <c r="F107" s="11"/>
      <c r="G107" s="11"/>
      <c r="H107" s="12"/>
    </row>
    <row r="108" spans="1:8">
      <c r="A108" s="13" t="s">
        <v>706</v>
      </c>
      <c r="B108" s="14" t="s">
        <v>537</v>
      </c>
      <c r="C108" s="10">
        <v>600</v>
      </c>
      <c r="D108" s="11">
        <v>300</v>
      </c>
      <c r="E108" s="11">
        <v>300</v>
      </c>
      <c r="F108" s="11">
        <f>133.48</f>
        <v>133.47999999999999</v>
      </c>
      <c r="G108" s="11">
        <f>E108-F108</f>
        <v>166.52</v>
      </c>
      <c r="H108" s="15">
        <f>G108/E108</f>
        <v>0.55506666666666671</v>
      </c>
    </row>
    <row r="109" spans="1:8">
      <c r="A109" s="13" t="s">
        <v>709</v>
      </c>
      <c r="B109" s="14" t="s">
        <v>538</v>
      </c>
      <c r="C109" s="10">
        <v>100</v>
      </c>
      <c r="D109" s="11">
        <v>100</v>
      </c>
      <c r="E109" s="11">
        <v>100</v>
      </c>
      <c r="F109" s="11">
        <f>3.48+7.47</f>
        <v>10.95</v>
      </c>
      <c r="G109" s="11">
        <f>E109-F109</f>
        <v>89.05</v>
      </c>
      <c r="H109" s="15">
        <f>G109/E109</f>
        <v>0.89049999999999996</v>
      </c>
    </row>
    <row r="110" spans="1:8">
      <c r="A110" s="13" t="s">
        <v>710</v>
      </c>
      <c r="B110" s="14" t="s">
        <v>539</v>
      </c>
      <c r="C110" s="10">
        <v>250</v>
      </c>
      <c r="D110" s="11" t="s">
        <v>491</v>
      </c>
      <c r="E110" s="11" t="s">
        <v>491</v>
      </c>
      <c r="F110" s="11"/>
      <c r="G110" s="11" t="e">
        <f>E110-F110</f>
        <v>#VALUE!</v>
      </c>
      <c r="H110" s="15" t="e">
        <f>G110/E110</f>
        <v>#VALUE!</v>
      </c>
    </row>
    <row r="111" spans="1:8">
      <c r="A111" s="13" t="s">
        <v>712</v>
      </c>
      <c r="B111" s="14" t="s">
        <v>708</v>
      </c>
      <c r="C111" s="10">
        <v>18</v>
      </c>
      <c r="D111" s="11">
        <v>9</v>
      </c>
      <c r="E111" s="11">
        <v>10</v>
      </c>
      <c r="F111" s="11"/>
      <c r="G111" s="11">
        <f>E111-F111</f>
        <v>10</v>
      </c>
      <c r="H111" s="15">
        <f>G111/E111</f>
        <v>1</v>
      </c>
    </row>
    <row r="112" spans="1:8">
      <c r="A112" s="8">
        <v>3</v>
      </c>
      <c r="B112" s="9" t="s">
        <v>540</v>
      </c>
      <c r="C112" s="10"/>
      <c r="D112" s="11"/>
      <c r="E112" s="11"/>
      <c r="F112" s="11"/>
      <c r="G112" s="11"/>
      <c r="H112" s="15"/>
    </row>
    <row r="113" spans="1:9">
      <c r="A113" s="13" t="s">
        <v>706</v>
      </c>
      <c r="B113" s="14" t="s">
        <v>522</v>
      </c>
      <c r="C113" s="10">
        <v>5</v>
      </c>
      <c r="D113" s="11" t="s">
        <v>409</v>
      </c>
      <c r="E113" s="11" t="s">
        <v>495</v>
      </c>
      <c r="F113" s="11"/>
      <c r="G113" s="11" t="e">
        <f>E113-F113</f>
        <v>#VALUE!</v>
      </c>
      <c r="H113" s="15" t="e">
        <f>G113/E113</f>
        <v>#VALUE!</v>
      </c>
    </row>
    <row r="114" spans="1:9">
      <c r="A114" s="13" t="s">
        <v>709</v>
      </c>
      <c r="B114" s="14" t="s">
        <v>535</v>
      </c>
      <c r="C114" s="10">
        <v>15</v>
      </c>
      <c r="D114" s="11">
        <v>15</v>
      </c>
      <c r="E114" s="11">
        <v>15</v>
      </c>
      <c r="F114" s="11"/>
      <c r="G114" s="11">
        <f>E114-F114</f>
        <v>15</v>
      </c>
      <c r="H114" s="15">
        <f>G114/E114</f>
        <v>1</v>
      </c>
      <c r="I114" s="112" t="s">
        <v>406</v>
      </c>
    </row>
    <row r="115" spans="1:9">
      <c r="A115" s="13" t="s">
        <v>710</v>
      </c>
      <c r="B115" s="14" t="s">
        <v>708</v>
      </c>
      <c r="C115" s="10">
        <v>9</v>
      </c>
      <c r="D115" s="11">
        <v>9</v>
      </c>
      <c r="E115" s="11">
        <v>9</v>
      </c>
      <c r="F115" s="11"/>
      <c r="G115" s="11">
        <f>E115-F115</f>
        <v>9</v>
      </c>
      <c r="H115" s="15">
        <f>G115/E115</f>
        <v>1</v>
      </c>
    </row>
    <row r="116" spans="1:9">
      <c r="A116" s="8">
        <v>4</v>
      </c>
      <c r="B116" s="9" t="s">
        <v>541</v>
      </c>
      <c r="C116" s="10"/>
      <c r="D116" s="11"/>
      <c r="E116" s="11"/>
      <c r="F116" s="11"/>
      <c r="G116" s="11"/>
      <c r="H116" s="12"/>
    </row>
    <row r="117" spans="1:9">
      <c r="A117" s="13" t="s">
        <v>706</v>
      </c>
      <c r="B117" s="14" t="s">
        <v>539</v>
      </c>
      <c r="C117" s="10">
        <v>15</v>
      </c>
      <c r="D117" s="11">
        <v>15</v>
      </c>
      <c r="E117" s="11">
        <v>15</v>
      </c>
      <c r="F117" s="11"/>
      <c r="G117" s="11">
        <f>E117-F117</f>
        <v>15</v>
      </c>
      <c r="H117" s="15">
        <f>G117/E117</f>
        <v>1</v>
      </c>
    </row>
    <row r="118" spans="1:9">
      <c r="A118" s="8">
        <v>5</v>
      </c>
      <c r="B118" s="9" t="s">
        <v>542</v>
      </c>
      <c r="C118" s="10"/>
      <c r="D118" s="11"/>
      <c r="E118" s="11"/>
      <c r="F118" s="11"/>
      <c r="G118" s="11"/>
      <c r="H118" s="12"/>
    </row>
    <row r="119" spans="1:9">
      <c r="A119" s="13" t="s">
        <v>706</v>
      </c>
      <c r="B119" s="14" t="s">
        <v>543</v>
      </c>
      <c r="C119" s="10">
        <v>400</v>
      </c>
      <c r="D119" s="11">
        <v>350</v>
      </c>
      <c r="E119" s="11">
        <v>350</v>
      </c>
      <c r="F119" s="11">
        <f>350</f>
        <v>350</v>
      </c>
      <c r="G119" s="11">
        <f>E119-F119</f>
        <v>0</v>
      </c>
      <c r="H119" s="15">
        <f>G119/E119</f>
        <v>0</v>
      </c>
    </row>
    <row r="120" spans="1:9">
      <c r="A120" s="13" t="s">
        <v>709</v>
      </c>
      <c r="B120" s="14" t="s">
        <v>708</v>
      </c>
      <c r="C120" s="10">
        <v>9</v>
      </c>
      <c r="D120" s="11">
        <v>9</v>
      </c>
      <c r="E120" s="11">
        <v>9</v>
      </c>
      <c r="F120" s="11"/>
      <c r="G120" s="11">
        <f>E120-F120</f>
        <v>9</v>
      </c>
      <c r="H120" s="15">
        <f>G120/E120</f>
        <v>1</v>
      </c>
    </row>
    <row r="121" spans="1:9">
      <c r="A121" s="13" t="s">
        <v>710</v>
      </c>
      <c r="B121" s="14" t="s">
        <v>544</v>
      </c>
      <c r="C121" s="10">
        <v>132</v>
      </c>
      <c r="D121" s="11">
        <v>132</v>
      </c>
      <c r="E121" s="11">
        <v>132</v>
      </c>
      <c r="F121" s="11"/>
      <c r="G121" s="11">
        <f>E121-F121</f>
        <v>132</v>
      </c>
      <c r="H121" s="15">
        <f>G121/E121</f>
        <v>1</v>
      </c>
    </row>
    <row r="122" spans="1:9">
      <c r="A122" s="8">
        <v>6</v>
      </c>
      <c r="B122" s="9" t="s">
        <v>545</v>
      </c>
      <c r="C122" s="10"/>
      <c r="D122" s="11"/>
      <c r="E122" s="11"/>
      <c r="F122" s="11"/>
      <c r="G122" s="11"/>
      <c r="H122" s="12"/>
    </row>
    <row r="123" spans="1:9">
      <c r="A123" s="13" t="s">
        <v>706</v>
      </c>
      <c r="B123" s="14" t="s">
        <v>546</v>
      </c>
      <c r="C123" s="10">
        <v>500</v>
      </c>
      <c r="D123" s="11">
        <v>250</v>
      </c>
      <c r="E123" s="11">
        <v>250</v>
      </c>
      <c r="F123" s="11"/>
      <c r="G123" s="11">
        <f>E123-F123</f>
        <v>250</v>
      </c>
      <c r="H123" s="15">
        <f>G123/E123</f>
        <v>1</v>
      </c>
    </row>
    <row r="124" spans="1:9">
      <c r="A124" s="13" t="s">
        <v>709</v>
      </c>
      <c r="B124" s="14" t="s">
        <v>410</v>
      </c>
      <c r="C124" s="10">
        <v>500</v>
      </c>
      <c r="D124" s="11">
        <v>250</v>
      </c>
      <c r="E124" s="11">
        <v>250</v>
      </c>
      <c r="F124" s="11"/>
      <c r="G124" s="11">
        <f>E124-F124</f>
        <v>250</v>
      </c>
      <c r="H124" s="15">
        <f>G124/E124</f>
        <v>1</v>
      </c>
    </row>
    <row r="125" spans="1:9">
      <c r="A125" s="13" t="s">
        <v>710</v>
      </c>
      <c r="B125" s="14" t="s">
        <v>516</v>
      </c>
      <c r="C125" s="10">
        <v>100</v>
      </c>
      <c r="D125" s="11">
        <v>50</v>
      </c>
      <c r="E125" s="11">
        <v>50</v>
      </c>
      <c r="F125" s="11"/>
      <c r="G125" s="11">
        <f>E125-F125</f>
        <v>50</v>
      </c>
      <c r="H125" s="15">
        <f>G125/E125</f>
        <v>1</v>
      </c>
    </row>
    <row r="126" spans="1:9">
      <c r="A126" s="13" t="s">
        <v>712</v>
      </c>
      <c r="B126" s="14" t="s">
        <v>547</v>
      </c>
      <c r="C126" s="10">
        <v>100</v>
      </c>
      <c r="D126" s="11">
        <v>100</v>
      </c>
      <c r="E126" s="11">
        <v>100</v>
      </c>
      <c r="F126" s="11"/>
      <c r="G126" s="11">
        <f>E126-F126</f>
        <v>100</v>
      </c>
      <c r="H126" s="15">
        <f>G126/E126</f>
        <v>1</v>
      </c>
    </row>
    <row r="127" spans="1:9">
      <c r="A127" s="13" t="s">
        <v>713</v>
      </c>
      <c r="B127" s="14" t="s">
        <v>708</v>
      </c>
      <c r="C127" s="10">
        <v>9</v>
      </c>
      <c r="D127" s="11">
        <v>9</v>
      </c>
      <c r="E127" s="11">
        <v>9</v>
      </c>
      <c r="F127" s="11"/>
      <c r="G127" s="11">
        <f>E127-F127</f>
        <v>9</v>
      </c>
      <c r="H127" s="15">
        <f>G127/E127</f>
        <v>1</v>
      </c>
    </row>
    <row r="128" spans="1:9" ht="25.5">
      <c r="A128" s="8">
        <v>7</v>
      </c>
      <c r="B128" s="9" t="s">
        <v>548</v>
      </c>
      <c r="C128" s="10"/>
      <c r="D128" s="11"/>
      <c r="E128" s="11"/>
      <c r="F128" s="11"/>
      <c r="G128" s="11"/>
      <c r="H128" s="12"/>
    </row>
    <row r="129" spans="1:10">
      <c r="A129" s="13" t="s">
        <v>706</v>
      </c>
      <c r="B129" s="14" t="s">
        <v>736</v>
      </c>
      <c r="C129" s="10">
        <v>8000</v>
      </c>
      <c r="D129" s="11">
        <v>4000</v>
      </c>
      <c r="E129" s="11">
        <v>4000</v>
      </c>
      <c r="F129" s="11">
        <f>1000+1000+1000+1000</f>
        <v>4000</v>
      </c>
      <c r="G129" s="11">
        <f>E129-F129</f>
        <v>0</v>
      </c>
      <c r="H129" s="15">
        <f>G129/E129</f>
        <v>0</v>
      </c>
    </row>
    <row r="130" spans="1:10">
      <c r="A130" s="13" t="s">
        <v>709</v>
      </c>
      <c r="B130" s="14" t="s">
        <v>737</v>
      </c>
      <c r="C130" s="10">
        <v>500</v>
      </c>
      <c r="D130" s="11">
        <v>500</v>
      </c>
      <c r="E130" s="11">
        <v>500</v>
      </c>
      <c r="F130" s="11">
        <f>500</f>
        <v>500</v>
      </c>
      <c r="G130" s="11">
        <f>E130-F130</f>
        <v>0</v>
      </c>
      <c r="H130" s="15">
        <f>G130/E130</f>
        <v>0</v>
      </c>
    </row>
    <row r="131" spans="1:10">
      <c r="A131" s="13" t="s">
        <v>710</v>
      </c>
      <c r="B131" s="14" t="s">
        <v>738</v>
      </c>
      <c r="C131" s="10">
        <v>2100</v>
      </c>
      <c r="D131" s="11" t="s">
        <v>491</v>
      </c>
      <c r="E131" s="11" t="s">
        <v>491</v>
      </c>
      <c r="F131" s="11"/>
      <c r="G131" s="11" t="e">
        <f>E131-F131</f>
        <v>#VALUE!</v>
      </c>
      <c r="H131" s="15" t="e">
        <f>G131/E131</f>
        <v>#VALUE!</v>
      </c>
    </row>
    <row r="132" spans="1:10">
      <c r="A132" s="13" t="s">
        <v>712</v>
      </c>
      <c r="B132" s="14" t="s">
        <v>739</v>
      </c>
      <c r="C132" s="10">
        <v>150</v>
      </c>
      <c r="D132" s="11">
        <v>150</v>
      </c>
      <c r="E132" s="11">
        <v>150</v>
      </c>
      <c r="F132" s="11"/>
      <c r="G132" s="11">
        <f>E132-F132</f>
        <v>150</v>
      </c>
      <c r="H132" s="15">
        <f>G132/E132</f>
        <v>1</v>
      </c>
    </row>
    <row r="133" spans="1:10">
      <c r="A133" s="8">
        <v>8</v>
      </c>
      <c r="B133" s="9" t="s">
        <v>740</v>
      </c>
      <c r="C133" s="10"/>
      <c r="D133" s="11"/>
      <c r="E133" s="11"/>
      <c r="F133" s="11"/>
      <c r="G133" s="11"/>
      <c r="H133" s="15"/>
    </row>
    <row r="134" spans="1:10" ht="25.5">
      <c r="A134" s="13" t="s">
        <v>706</v>
      </c>
      <c r="B134" s="14" t="s">
        <v>741</v>
      </c>
      <c r="C134" s="10">
        <v>100</v>
      </c>
      <c r="D134" s="11">
        <v>100</v>
      </c>
      <c r="E134" s="11">
        <v>100</v>
      </c>
      <c r="F134" s="11">
        <f>41.17</f>
        <v>41.17</v>
      </c>
      <c r="G134" s="11">
        <f>E134-F134</f>
        <v>58.83</v>
      </c>
      <c r="H134" s="15">
        <f>G134/E134</f>
        <v>0.58829999999999993</v>
      </c>
    </row>
    <row r="135" spans="1:10">
      <c r="A135" s="13" t="s">
        <v>709</v>
      </c>
      <c r="B135" s="14" t="s">
        <v>742</v>
      </c>
      <c r="C135" s="10">
        <v>50</v>
      </c>
      <c r="D135" s="11">
        <v>50</v>
      </c>
      <c r="E135" s="11">
        <v>50</v>
      </c>
      <c r="F135" s="11">
        <f>50</f>
        <v>50</v>
      </c>
      <c r="G135" s="11">
        <f>E135-F135</f>
        <v>0</v>
      </c>
      <c r="H135" s="15">
        <f>G135/E135</f>
        <v>0</v>
      </c>
    </row>
    <row r="136" spans="1:10" ht="13.5" thickBot="1">
      <c r="A136" s="13" t="s">
        <v>710</v>
      </c>
      <c r="B136" s="14" t="s">
        <v>708</v>
      </c>
      <c r="C136" s="10">
        <v>9</v>
      </c>
      <c r="D136" s="11">
        <v>9</v>
      </c>
      <c r="E136" s="11">
        <v>9</v>
      </c>
      <c r="F136" s="11"/>
      <c r="G136" s="11">
        <f>E136-F136</f>
        <v>9</v>
      </c>
      <c r="H136" s="15">
        <f>G136/E136</f>
        <v>1</v>
      </c>
    </row>
    <row r="137" spans="1:10">
      <c r="A137" s="16"/>
      <c r="B137" s="17" t="s">
        <v>717</v>
      </c>
      <c r="C137" s="18">
        <f t="shared" ref="C137:H137" si="5">SUM(C105:C136)</f>
        <v>13730</v>
      </c>
      <c r="D137" s="18">
        <f t="shared" si="5"/>
        <v>6466</v>
      </c>
      <c r="E137" s="18">
        <f t="shared" si="5"/>
        <v>6467</v>
      </c>
      <c r="F137" s="18">
        <f t="shared" si="5"/>
        <v>5085.6000000000004</v>
      </c>
      <c r="G137" s="18" t="e">
        <f t="shared" si="5"/>
        <v>#VALUE!</v>
      </c>
      <c r="H137" s="18" t="e">
        <f t="shared" si="5"/>
        <v>#VALUE!</v>
      </c>
    </row>
    <row r="138" spans="1:10">
      <c r="A138" s="19"/>
      <c r="B138" s="20" t="s">
        <v>718</v>
      </c>
      <c r="C138" s="21"/>
      <c r="D138" s="22"/>
      <c r="E138" s="22"/>
      <c r="F138" s="23"/>
      <c r="G138" s="24"/>
      <c r="H138" s="25"/>
    </row>
    <row r="139" spans="1:10" ht="13.5" thickBot="1">
      <c r="A139" s="26"/>
      <c r="B139" s="27" t="s">
        <v>719</v>
      </c>
      <c r="C139" s="28"/>
      <c r="D139" s="29"/>
      <c r="E139" s="29"/>
      <c r="F139" s="28"/>
      <c r="G139" s="30"/>
      <c r="H139" s="31"/>
    </row>
    <row r="140" spans="1:10">
      <c r="A140" s="224" t="s">
        <v>743</v>
      </c>
      <c r="B140" s="224"/>
      <c r="C140" s="224"/>
      <c r="D140" s="224"/>
      <c r="E140" s="224"/>
      <c r="F140" s="224"/>
      <c r="G140" s="224"/>
      <c r="H140" s="225"/>
      <c r="J140">
        <f>232.16-228.66</f>
        <v>3.5</v>
      </c>
    </row>
    <row r="141" spans="1:10" ht="13.5" thickBot="1">
      <c r="A141" s="3"/>
      <c r="B141" s="4" t="s">
        <v>699</v>
      </c>
      <c r="C141" s="5" t="s">
        <v>700</v>
      </c>
      <c r="D141" s="6" t="s">
        <v>701</v>
      </c>
      <c r="E141" s="6" t="s">
        <v>702</v>
      </c>
      <c r="F141" s="6" t="s">
        <v>703</v>
      </c>
      <c r="G141" s="6" t="s">
        <v>704</v>
      </c>
      <c r="H141" s="7" t="s">
        <v>705</v>
      </c>
    </row>
    <row r="142" spans="1:10">
      <c r="A142" s="8">
        <v>1</v>
      </c>
      <c r="B142" s="9" t="s">
        <v>524</v>
      </c>
      <c r="C142" s="10"/>
      <c r="D142" s="11"/>
      <c r="E142" s="11"/>
      <c r="F142" s="11"/>
      <c r="G142" s="11"/>
      <c r="H142" s="12"/>
      <c r="I142">
        <f>50+9+169.66</f>
        <v>228.66</v>
      </c>
    </row>
    <row r="143" spans="1:10">
      <c r="A143" s="13" t="s">
        <v>706</v>
      </c>
      <c r="B143" s="14" t="s">
        <v>744</v>
      </c>
      <c r="C143" s="10">
        <v>170</v>
      </c>
      <c r="D143" s="11">
        <v>170</v>
      </c>
      <c r="E143" s="11">
        <v>170</v>
      </c>
      <c r="F143" s="11">
        <f>139.66</f>
        <v>139.66</v>
      </c>
      <c r="G143" s="11">
        <f>E143-F143</f>
        <v>30.340000000000003</v>
      </c>
      <c r="H143" s="15">
        <f>G143/E143</f>
        <v>0.17847058823529413</v>
      </c>
    </row>
    <row r="144" spans="1:10">
      <c r="A144" s="13" t="s">
        <v>709</v>
      </c>
      <c r="B144" s="14" t="s">
        <v>745</v>
      </c>
      <c r="C144" s="10">
        <v>30</v>
      </c>
      <c r="D144" s="11">
        <v>30</v>
      </c>
      <c r="E144" s="11">
        <v>30</v>
      </c>
      <c r="F144" s="11">
        <f>30</f>
        <v>30</v>
      </c>
      <c r="G144" s="11">
        <f>E144-F144</f>
        <v>0</v>
      </c>
      <c r="H144" s="15">
        <f>G144/E144</f>
        <v>0</v>
      </c>
    </row>
    <row r="145" spans="1:8">
      <c r="A145" s="13" t="s">
        <v>710</v>
      </c>
      <c r="B145" s="14" t="s">
        <v>708</v>
      </c>
      <c r="C145" s="10">
        <v>9</v>
      </c>
      <c r="D145" s="11">
        <v>9</v>
      </c>
      <c r="E145" s="11">
        <v>9</v>
      </c>
      <c r="F145" s="11">
        <f>7.5</f>
        <v>7.5</v>
      </c>
      <c r="G145" s="11">
        <f>E145-F145</f>
        <v>1.5</v>
      </c>
      <c r="H145" s="15">
        <f>G145/E145</f>
        <v>0.16666666666666666</v>
      </c>
    </row>
    <row r="146" spans="1:8">
      <c r="A146" s="8">
        <v>2</v>
      </c>
      <c r="B146" s="9" t="s">
        <v>686</v>
      </c>
      <c r="C146" s="10"/>
      <c r="D146" s="11"/>
      <c r="E146" s="11"/>
      <c r="F146" s="11"/>
      <c r="G146" s="11"/>
      <c r="H146" s="12"/>
    </row>
    <row r="147" spans="1:8">
      <c r="A147" s="13" t="s">
        <v>706</v>
      </c>
      <c r="B147" s="14" t="s">
        <v>711</v>
      </c>
      <c r="C147" s="10">
        <v>50</v>
      </c>
      <c r="D147" s="11">
        <v>50</v>
      </c>
      <c r="E147" s="11">
        <v>50</v>
      </c>
      <c r="F147" s="11">
        <f>50</f>
        <v>50</v>
      </c>
      <c r="G147" s="11">
        <f>E147-F147</f>
        <v>0</v>
      </c>
      <c r="H147" s="15">
        <f>G147/E147</f>
        <v>0</v>
      </c>
    </row>
    <row r="148" spans="1:8">
      <c r="A148" s="13" t="s">
        <v>709</v>
      </c>
      <c r="B148" s="14" t="s">
        <v>708</v>
      </c>
      <c r="C148" s="10">
        <v>9</v>
      </c>
      <c r="D148" s="11">
        <v>9</v>
      </c>
      <c r="E148" s="11">
        <v>9</v>
      </c>
      <c r="F148" s="11">
        <f>9</f>
        <v>9</v>
      </c>
      <c r="G148" s="11">
        <f>E148-F148</f>
        <v>0</v>
      </c>
      <c r="H148" s="15">
        <f>G148/E148</f>
        <v>0</v>
      </c>
    </row>
    <row r="149" spans="1:8">
      <c r="A149" s="8">
        <v>3</v>
      </c>
      <c r="B149" s="9" t="s">
        <v>746</v>
      </c>
      <c r="C149" s="10"/>
      <c r="D149" s="11"/>
      <c r="E149" s="11"/>
      <c r="F149" s="11"/>
      <c r="G149" s="11"/>
      <c r="H149" s="12"/>
    </row>
    <row r="150" spans="1:8">
      <c r="A150" s="13" t="s">
        <v>706</v>
      </c>
      <c r="B150" s="14" t="s">
        <v>747</v>
      </c>
      <c r="C150" s="10">
        <v>300</v>
      </c>
      <c r="D150" s="11">
        <v>300</v>
      </c>
      <c r="E150" s="11">
        <v>300</v>
      </c>
      <c r="F150" s="11">
        <f>300</f>
        <v>300</v>
      </c>
      <c r="G150" s="11">
        <f>E150-F150</f>
        <v>0</v>
      </c>
      <c r="H150" s="15">
        <f>G150/E150</f>
        <v>0</v>
      </c>
    </row>
    <row r="151" spans="1:8">
      <c r="A151" s="13" t="s">
        <v>709</v>
      </c>
      <c r="B151" s="14" t="s">
        <v>411</v>
      </c>
      <c r="C151" s="10">
        <v>9</v>
      </c>
      <c r="D151" s="11">
        <v>9</v>
      </c>
      <c r="E151" s="11">
        <v>9</v>
      </c>
      <c r="F151" s="11"/>
      <c r="G151" s="11">
        <f>E151-F151</f>
        <v>9</v>
      </c>
      <c r="H151" s="15">
        <f>G151/E151</f>
        <v>1</v>
      </c>
    </row>
    <row r="152" spans="1:8">
      <c r="A152" s="13" t="s">
        <v>710</v>
      </c>
      <c r="B152" s="14" t="s">
        <v>412</v>
      </c>
      <c r="C152" s="10">
        <v>150</v>
      </c>
      <c r="D152" s="11">
        <v>150</v>
      </c>
      <c r="E152" s="11">
        <v>150</v>
      </c>
      <c r="F152" s="11">
        <f>150</f>
        <v>150</v>
      </c>
      <c r="G152" s="11">
        <f>E152-F152</f>
        <v>0</v>
      </c>
      <c r="H152" s="15">
        <f>G152/E152</f>
        <v>0</v>
      </c>
    </row>
    <row r="153" spans="1:8">
      <c r="A153" s="8">
        <v>4</v>
      </c>
      <c r="B153" s="9" t="s">
        <v>748</v>
      </c>
      <c r="C153" s="10"/>
      <c r="D153" s="11"/>
      <c r="E153" s="11"/>
      <c r="F153" s="11"/>
      <c r="G153" s="11"/>
      <c r="H153" s="12"/>
    </row>
    <row r="154" spans="1:8">
      <c r="A154" s="13" t="s">
        <v>706</v>
      </c>
      <c r="B154" s="14" t="s">
        <v>749</v>
      </c>
      <c r="C154" s="10">
        <v>350</v>
      </c>
      <c r="D154" s="11">
        <v>0</v>
      </c>
      <c r="E154" s="11">
        <v>0</v>
      </c>
      <c r="F154" s="11"/>
      <c r="G154" s="11">
        <f>E154-F154</f>
        <v>0</v>
      </c>
      <c r="H154" s="15" t="e">
        <f>G154/E154</f>
        <v>#DIV/0!</v>
      </c>
    </row>
    <row r="155" spans="1:8">
      <c r="A155" s="13" t="s">
        <v>709</v>
      </c>
      <c r="B155" s="14" t="s">
        <v>516</v>
      </c>
      <c r="C155" s="10">
        <v>50</v>
      </c>
      <c r="D155" s="11">
        <v>0</v>
      </c>
      <c r="E155" s="11">
        <v>0</v>
      </c>
      <c r="F155" s="11"/>
      <c r="G155" s="11">
        <f>E155-F155</f>
        <v>0</v>
      </c>
      <c r="H155" s="15" t="e">
        <f>G155/E155</f>
        <v>#DIV/0!</v>
      </c>
    </row>
    <row r="156" spans="1:8" ht="13.5" thickBot="1">
      <c r="A156" s="13" t="s">
        <v>709</v>
      </c>
      <c r="B156" s="14" t="s">
        <v>708</v>
      </c>
      <c r="C156" s="10">
        <v>9</v>
      </c>
      <c r="D156" s="11">
        <v>0</v>
      </c>
      <c r="E156" s="11">
        <v>0</v>
      </c>
      <c r="F156" s="11"/>
      <c r="G156" s="11">
        <f>E156-F156</f>
        <v>0</v>
      </c>
      <c r="H156" s="15" t="e">
        <f>G156/E156</f>
        <v>#DIV/0!</v>
      </c>
    </row>
    <row r="157" spans="1:8">
      <c r="A157" s="16"/>
      <c r="B157" s="17" t="s">
        <v>717</v>
      </c>
      <c r="C157" s="18">
        <f t="shared" ref="C157:H157" si="6">SUM(C143:C156)</f>
        <v>1136</v>
      </c>
      <c r="D157" s="18">
        <f t="shared" si="6"/>
        <v>727</v>
      </c>
      <c r="E157" s="18">
        <f t="shared" si="6"/>
        <v>727</v>
      </c>
      <c r="F157" s="18">
        <f t="shared" si="6"/>
        <v>686.16</v>
      </c>
      <c r="G157" s="18">
        <f t="shared" si="6"/>
        <v>40.840000000000003</v>
      </c>
      <c r="H157" s="18" t="e">
        <f t="shared" si="6"/>
        <v>#DIV/0!</v>
      </c>
    </row>
    <row r="158" spans="1:8">
      <c r="A158" s="19"/>
      <c r="B158" s="20" t="s">
        <v>718</v>
      </c>
      <c r="C158" s="21"/>
      <c r="D158" s="22"/>
      <c r="E158" s="22"/>
      <c r="F158" s="23"/>
      <c r="G158" s="24"/>
      <c r="H158" s="25"/>
    </row>
    <row r="159" spans="1:8" ht="13.5" thickBot="1">
      <c r="A159" s="26"/>
      <c r="B159" s="27" t="s">
        <v>719</v>
      </c>
      <c r="C159" s="28"/>
      <c r="D159" s="29"/>
      <c r="E159" s="29"/>
      <c r="F159" s="28"/>
      <c r="G159" s="30"/>
      <c r="H159" s="31"/>
    </row>
    <row r="160" spans="1:8">
      <c r="A160" s="93"/>
      <c r="B160" s="95" t="s">
        <v>336</v>
      </c>
      <c r="C160" s="94">
        <f t="shared" ref="C160:H160" si="7">SUM(C35,C58,C83,C99,C137,C157)</f>
        <v>35342.5</v>
      </c>
      <c r="D160" s="94">
        <f t="shared" si="7"/>
        <v>17830</v>
      </c>
      <c r="E160" s="94">
        <f>SUM(E35,E58,E83,E99,E137,E157)</f>
        <v>17772</v>
      </c>
      <c r="F160" s="94">
        <f t="shared" si="7"/>
        <v>9295.07</v>
      </c>
      <c r="G160" s="94" t="e">
        <f t="shared" si="7"/>
        <v>#VALUE!</v>
      </c>
      <c r="H160" s="94" t="e">
        <f t="shared" si="7"/>
        <v>#VALUE!</v>
      </c>
    </row>
    <row r="161" spans="1:8" ht="13.5" thickBot="1">
      <c r="A161" s="226" t="s">
        <v>679</v>
      </c>
      <c r="B161" s="226"/>
      <c r="C161" s="226"/>
      <c r="D161" s="226"/>
      <c r="E161" s="226"/>
      <c r="F161" s="226"/>
      <c r="G161" s="226"/>
      <c r="H161" s="226"/>
    </row>
    <row r="162" spans="1:8" ht="12.75" customHeight="1">
      <c r="A162" s="224" t="s">
        <v>917</v>
      </c>
      <c r="B162" s="224"/>
      <c r="C162" s="224"/>
      <c r="D162" s="224"/>
      <c r="E162" s="224"/>
      <c r="F162" s="224"/>
      <c r="G162" s="224"/>
      <c r="H162" s="225"/>
    </row>
    <row r="163" spans="1:8" ht="13.5" thickBot="1">
      <c r="A163" s="3"/>
      <c r="B163" s="4" t="s">
        <v>699</v>
      </c>
      <c r="C163" s="5" t="s">
        <v>700</v>
      </c>
      <c r="D163" s="6" t="s">
        <v>701</v>
      </c>
      <c r="E163" s="6" t="s">
        <v>702</v>
      </c>
      <c r="F163" s="6" t="s">
        <v>703</v>
      </c>
      <c r="G163" s="6" t="s">
        <v>704</v>
      </c>
      <c r="H163" s="7" t="s">
        <v>705</v>
      </c>
    </row>
    <row r="164" spans="1:8">
      <c r="A164" s="8">
        <v>1</v>
      </c>
      <c r="B164" s="9" t="s">
        <v>680</v>
      </c>
      <c r="C164" s="10"/>
      <c r="D164" s="11"/>
      <c r="E164" s="11"/>
      <c r="F164" s="11"/>
      <c r="G164" s="11"/>
      <c r="H164" s="12"/>
    </row>
    <row r="165" spans="1:8">
      <c r="A165" s="13" t="s">
        <v>706</v>
      </c>
      <c r="B165" s="14" t="s">
        <v>922</v>
      </c>
      <c r="C165" s="10">
        <v>300</v>
      </c>
      <c r="D165" s="11">
        <v>300</v>
      </c>
      <c r="E165" s="11">
        <v>300</v>
      </c>
      <c r="F165" s="11">
        <f>185.99</f>
        <v>185.99</v>
      </c>
      <c r="G165" s="11">
        <f>E165-F165</f>
        <v>114.00999999999999</v>
      </c>
      <c r="H165" s="15">
        <f>G165/E165</f>
        <v>0.38003333333333328</v>
      </c>
    </row>
    <row r="166" spans="1:8" ht="15" customHeight="1">
      <c r="A166" s="13" t="s">
        <v>709</v>
      </c>
      <c r="B166" s="14" t="s">
        <v>919</v>
      </c>
      <c r="C166" s="10">
        <v>32</v>
      </c>
      <c r="D166" s="11">
        <v>32</v>
      </c>
      <c r="E166" s="11">
        <v>32</v>
      </c>
      <c r="F166" s="11">
        <f>27.96</f>
        <v>27.96</v>
      </c>
      <c r="G166" s="11">
        <f>E166-F166</f>
        <v>4.0399999999999991</v>
      </c>
      <c r="H166" s="15">
        <f>G166/E166</f>
        <v>0.12624999999999997</v>
      </c>
    </row>
    <row r="167" spans="1:8">
      <c r="A167" s="13" t="s">
        <v>710</v>
      </c>
      <c r="B167" s="14" t="s">
        <v>920</v>
      </c>
      <c r="C167" s="10">
        <v>80</v>
      </c>
      <c r="D167" s="11">
        <v>80</v>
      </c>
      <c r="E167" s="11">
        <v>80</v>
      </c>
      <c r="F167" s="11">
        <f>60.9</f>
        <v>60.9</v>
      </c>
      <c r="G167" s="11">
        <f>E167-F167</f>
        <v>19.100000000000001</v>
      </c>
      <c r="H167" s="15">
        <f>G167/E167</f>
        <v>0.23875000000000002</v>
      </c>
    </row>
    <row r="168" spans="1:8">
      <c r="A168" s="13" t="s">
        <v>712</v>
      </c>
      <c r="B168" s="14" t="s">
        <v>921</v>
      </c>
      <c r="C168" s="10">
        <v>125</v>
      </c>
      <c r="D168" s="11">
        <v>125</v>
      </c>
      <c r="E168" s="11">
        <v>125</v>
      </c>
      <c r="F168" s="11">
        <f>50</f>
        <v>50</v>
      </c>
      <c r="G168" s="11">
        <f>E168-F168</f>
        <v>75</v>
      </c>
      <c r="H168" s="15">
        <f>G168/E168</f>
        <v>0.6</v>
      </c>
    </row>
    <row r="169" spans="1:8" ht="25.5">
      <c r="A169" s="13" t="s">
        <v>713</v>
      </c>
      <c r="B169" s="14" t="s">
        <v>750</v>
      </c>
      <c r="C169" s="10">
        <v>160</v>
      </c>
      <c r="D169" s="11">
        <v>160</v>
      </c>
      <c r="E169" s="11">
        <v>160</v>
      </c>
      <c r="F169" s="11"/>
      <c r="G169" s="11">
        <f>E169-F169</f>
        <v>160</v>
      </c>
      <c r="H169" s="15">
        <f>G169/E169</f>
        <v>1</v>
      </c>
    </row>
    <row r="170" spans="1:8" ht="15" customHeight="1">
      <c r="A170" s="8">
        <v>2</v>
      </c>
      <c r="B170" s="9" t="s">
        <v>678</v>
      </c>
      <c r="C170" s="10"/>
      <c r="D170" s="11"/>
      <c r="E170" s="11"/>
      <c r="F170" s="11"/>
      <c r="G170" s="11"/>
      <c r="H170" s="15"/>
    </row>
    <row r="171" spans="1:8" ht="13.5" thickBot="1">
      <c r="A171" s="13" t="s">
        <v>706</v>
      </c>
      <c r="B171" s="14" t="s">
        <v>918</v>
      </c>
      <c r="C171" s="10">
        <v>875</v>
      </c>
      <c r="D171" s="10">
        <v>875</v>
      </c>
      <c r="E171" s="10">
        <v>875</v>
      </c>
      <c r="F171" s="11"/>
      <c r="G171" s="11">
        <f>E171-F171</f>
        <v>875</v>
      </c>
      <c r="H171" s="15">
        <f>G171/E171</f>
        <v>1</v>
      </c>
    </row>
    <row r="172" spans="1:8">
      <c r="A172" s="16"/>
      <c r="B172" s="17" t="s">
        <v>717</v>
      </c>
      <c r="C172" s="18">
        <f>SUM(C165:C171)</f>
        <v>1572</v>
      </c>
      <c r="D172" s="18">
        <f>SUM(D165:D171)</f>
        <v>1572</v>
      </c>
      <c r="E172" s="18">
        <f>SUM(E165:E171)</f>
        <v>1572</v>
      </c>
      <c r="F172" s="18">
        <f>SUM(F165:F171)</f>
        <v>324.85000000000002</v>
      </c>
      <c r="G172" s="18">
        <f>SUM(G165:G171)</f>
        <v>1247.1500000000001</v>
      </c>
      <c r="H172" s="36">
        <f>G172/E172</f>
        <v>0.79335241730279904</v>
      </c>
    </row>
    <row r="173" spans="1:8" ht="15" customHeight="1">
      <c r="A173" s="19"/>
      <c r="B173" s="20" t="s">
        <v>718</v>
      </c>
      <c r="C173" s="21"/>
      <c r="D173" s="22"/>
      <c r="E173" s="22"/>
      <c r="F173" s="23"/>
      <c r="G173" s="24"/>
      <c r="H173" s="25"/>
    </row>
    <row r="174" spans="1:8" ht="13.5" thickBot="1">
      <c r="A174" s="26"/>
      <c r="B174" s="27" t="s">
        <v>719</v>
      </c>
      <c r="C174" s="28"/>
      <c r="D174" s="29"/>
      <c r="E174" s="29"/>
      <c r="F174" s="28"/>
      <c r="G174" s="30"/>
      <c r="H174" s="31"/>
    </row>
    <row r="175" spans="1:8">
      <c r="A175" s="224" t="s">
        <v>685</v>
      </c>
      <c r="B175" s="224"/>
      <c r="C175" s="224"/>
      <c r="D175" s="224"/>
      <c r="E175" s="224"/>
      <c r="F175" s="224"/>
      <c r="G175" s="224"/>
      <c r="H175" s="225"/>
    </row>
    <row r="176" spans="1:8" ht="15" customHeight="1" thickBot="1">
      <c r="A176" s="3"/>
      <c r="B176" s="4" t="s">
        <v>699</v>
      </c>
      <c r="C176" s="5" t="s">
        <v>700</v>
      </c>
      <c r="D176" s="6" t="s">
        <v>701</v>
      </c>
      <c r="E176" s="6" t="s">
        <v>702</v>
      </c>
      <c r="F176" s="6" t="s">
        <v>703</v>
      </c>
      <c r="G176" s="6" t="s">
        <v>704</v>
      </c>
      <c r="H176" s="7" t="s">
        <v>705</v>
      </c>
    </row>
    <row r="177" spans="1:8">
      <c r="A177" s="8">
        <v>1</v>
      </c>
      <c r="B177" s="9" t="s">
        <v>686</v>
      </c>
      <c r="C177" s="10"/>
      <c r="D177" s="11"/>
      <c r="E177" s="11"/>
      <c r="F177" s="11"/>
      <c r="G177" s="11"/>
      <c r="H177" s="12"/>
    </row>
    <row r="178" spans="1:8">
      <c r="A178" s="13" t="s">
        <v>706</v>
      </c>
      <c r="B178" s="14" t="s">
        <v>686</v>
      </c>
      <c r="C178" s="10">
        <v>50</v>
      </c>
      <c r="D178" s="11">
        <v>50</v>
      </c>
      <c r="E178" s="11">
        <v>50</v>
      </c>
      <c r="F178" s="11"/>
      <c r="G178" s="11">
        <f>E178-F178</f>
        <v>50</v>
      </c>
      <c r="H178" s="15">
        <f>G178/E178</f>
        <v>1</v>
      </c>
    </row>
    <row r="179" spans="1:8">
      <c r="A179" s="13" t="s">
        <v>709</v>
      </c>
      <c r="B179" s="14" t="s">
        <v>708</v>
      </c>
      <c r="C179" s="10">
        <v>9</v>
      </c>
      <c r="D179" s="11">
        <v>9</v>
      </c>
      <c r="E179" s="11">
        <v>9</v>
      </c>
      <c r="F179" s="11"/>
      <c r="G179" s="11">
        <f>E179-F179</f>
        <v>9</v>
      </c>
      <c r="H179" s="15">
        <f>G179/E179</f>
        <v>1</v>
      </c>
    </row>
    <row r="180" spans="1:8" ht="15" customHeight="1">
      <c r="A180" s="8">
        <v>2</v>
      </c>
      <c r="B180" s="9" t="s">
        <v>680</v>
      </c>
      <c r="C180" s="10"/>
      <c r="D180" s="11"/>
      <c r="E180" s="11"/>
      <c r="F180" s="11"/>
      <c r="G180" s="11"/>
      <c r="H180" s="12"/>
    </row>
    <row r="181" spans="1:8">
      <c r="A181" s="13" t="s">
        <v>706</v>
      </c>
      <c r="B181" s="14" t="s">
        <v>751</v>
      </c>
      <c r="C181" s="10">
        <v>4000</v>
      </c>
      <c r="D181" s="11">
        <v>4000</v>
      </c>
      <c r="E181" s="11">
        <v>4000</v>
      </c>
      <c r="F181" s="11">
        <f>2800</f>
        <v>2800</v>
      </c>
      <c r="G181" s="11">
        <f>E181-F181</f>
        <v>1200</v>
      </c>
      <c r="H181" s="15">
        <f>G181/E181</f>
        <v>0.3</v>
      </c>
    </row>
    <row r="182" spans="1:8" ht="13.5" thickBot="1">
      <c r="A182" s="13" t="s">
        <v>709</v>
      </c>
      <c r="B182" s="14" t="s">
        <v>688</v>
      </c>
      <c r="C182" s="10">
        <v>896</v>
      </c>
      <c r="D182" s="11">
        <v>896</v>
      </c>
      <c r="E182" s="11">
        <v>896</v>
      </c>
      <c r="F182" s="11"/>
      <c r="G182" s="11">
        <f>E182-F182</f>
        <v>896</v>
      </c>
      <c r="H182" s="15">
        <f>G182/E182</f>
        <v>1</v>
      </c>
    </row>
    <row r="183" spans="1:8">
      <c r="A183" s="16"/>
      <c r="B183" s="17" t="s">
        <v>717</v>
      </c>
      <c r="C183" s="18">
        <f>SUM(C178:C182)</f>
        <v>4955</v>
      </c>
      <c r="D183" s="18">
        <f>SUM(D178:D182)</f>
        <v>4955</v>
      </c>
      <c r="E183" s="18">
        <f>SUM(E178:E182)</f>
        <v>4955</v>
      </c>
      <c r="F183" s="18">
        <f>SUM(F178:F182)</f>
        <v>2800</v>
      </c>
      <c r="G183" s="18">
        <f>SUM(G178:G182)</f>
        <v>2155</v>
      </c>
      <c r="H183" s="36">
        <f>G183/E183</f>
        <v>0.43491422805247226</v>
      </c>
    </row>
    <row r="184" spans="1:8">
      <c r="A184" s="19"/>
      <c r="B184" s="20" t="s">
        <v>718</v>
      </c>
      <c r="C184" s="21"/>
      <c r="D184" s="22"/>
      <c r="E184" s="22"/>
      <c r="F184" s="23"/>
      <c r="G184" s="24"/>
      <c r="H184" s="25"/>
    </row>
    <row r="185" spans="1:8" ht="12.75" customHeight="1" thickBot="1">
      <c r="A185" s="26"/>
      <c r="B185" s="27" t="s">
        <v>719</v>
      </c>
      <c r="C185" s="28"/>
      <c r="D185" s="29"/>
      <c r="E185" s="29"/>
      <c r="F185" s="28"/>
      <c r="G185" s="30"/>
      <c r="H185" s="31"/>
    </row>
    <row r="186" spans="1:8">
      <c r="A186" s="224" t="s">
        <v>689</v>
      </c>
      <c r="B186" s="224"/>
      <c r="C186" s="224"/>
      <c r="D186" s="224"/>
      <c r="E186" s="224"/>
      <c r="F186" s="224"/>
      <c r="G186" s="224"/>
      <c r="H186" s="225"/>
    </row>
    <row r="187" spans="1:8" ht="13.5" thickBot="1">
      <c r="A187" s="3"/>
      <c r="B187" s="4" t="s">
        <v>699</v>
      </c>
      <c r="C187" s="5" t="s">
        <v>700</v>
      </c>
      <c r="D187" s="6" t="s">
        <v>701</v>
      </c>
      <c r="E187" s="6" t="s">
        <v>702</v>
      </c>
      <c r="F187" s="6" t="s">
        <v>703</v>
      </c>
      <c r="G187" s="6" t="s">
        <v>704</v>
      </c>
      <c r="H187" s="7" t="s">
        <v>705</v>
      </c>
    </row>
    <row r="188" spans="1:8">
      <c r="A188" s="8">
        <v>1</v>
      </c>
      <c r="B188" s="9" t="s">
        <v>686</v>
      </c>
      <c r="C188" s="10"/>
      <c r="D188" s="11"/>
      <c r="E188" s="11"/>
      <c r="F188" s="11"/>
      <c r="G188" s="11"/>
      <c r="H188" s="12"/>
    </row>
    <row r="189" spans="1:8" ht="12.75" customHeight="1">
      <c r="A189" s="13" t="s">
        <v>706</v>
      </c>
      <c r="B189" s="14" t="s">
        <v>711</v>
      </c>
      <c r="C189" s="10">
        <v>50</v>
      </c>
      <c r="D189" s="11">
        <v>50</v>
      </c>
      <c r="E189" s="11">
        <v>50</v>
      </c>
      <c r="F189" s="11"/>
      <c r="G189" s="11">
        <f>E189-F189</f>
        <v>50</v>
      </c>
      <c r="H189" s="15">
        <f>G189/E189</f>
        <v>1</v>
      </c>
    </row>
    <row r="190" spans="1:8">
      <c r="A190" s="13" t="s">
        <v>709</v>
      </c>
      <c r="B190" s="14" t="s">
        <v>708</v>
      </c>
      <c r="C190" s="10">
        <v>10</v>
      </c>
      <c r="D190" s="11">
        <v>9</v>
      </c>
      <c r="E190" s="11">
        <v>9</v>
      </c>
      <c r="F190" s="11"/>
      <c r="G190" s="11">
        <f>E190-F190</f>
        <v>9</v>
      </c>
      <c r="H190" s="15">
        <f>G190/E190</f>
        <v>1</v>
      </c>
    </row>
    <row r="191" spans="1:8" ht="12" customHeight="1">
      <c r="A191" s="8">
        <v>2</v>
      </c>
      <c r="B191" s="9" t="s">
        <v>690</v>
      </c>
      <c r="C191" s="10"/>
      <c r="D191" s="11"/>
      <c r="E191" s="11"/>
      <c r="F191" s="11"/>
      <c r="G191" s="11"/>
      <c r="H191" s="15"/>
    </row>
    <row r="192" spans="1:8" ht="12" customHeight="1">
      <c r="A192" s="13" t="s">
        <v>706</v>
      </c>
      <c r="B192" s="14" t="s">
        <v>752</v>
      </c>
      <c r="C192" s="10">
        <v>231.85</v>
      </c>
      <c r="D192" s="11">
        <v>231.85</v>
      </c>
      <c r="E192" s="11">
        <v>231.85</v>
      </c>
      <c r="F192" s="11"/>
      <c r="G192" s="11">
        <f>E192-F192</f>
        <v>231.85</v>
      </c>
      <c r="H192" s="15">
        <f>G192/E192</f>
        <v>1</v>
      </c>
    </row>
    <row r="193" spans="1:8" ht="12" customHeight="1">
      <c r="A193" s="13" t="s">
        <v>709</v>
      </c>
      <c r="B193" s="14" t="s">
        <v>753</v>
      </c>
      <c r="C193" s="10">
        <v>367.82</v>
      </c>
      <c r="D193" s="11">
        <v>367.82</v>
      </c>
      <c r="E193" s="11">
        <v>367.82</v>
      </c>
      <c r="F193" s="11"/>
      <c r="G193" s="11">
        <f>E193-F193</f>
        <v>367.82</v>
      </c>
      <c r="H193" s="15">
        <f>G193/E193</f>
        <v>1</v>
      </c>
    </row>
    <row r="194" spans="1:8" ht="12" customHeight="1">
      <c r="A194" s="8">
        <v>3</v>
      </c>
      <c r="B194" s="9" t="s">
        <v>678</v>
      </c>
      <c r="C194" s="10"/>
      <c r="D194" s="11"/>
      <c r="E194" s="11"/>
      <c r="F194" s="11"/>
      <c r="G194" s="11"/>
      <c r="H194" s="15"/>
    </row>
    <row r="195" spans="1:8" ht="12" customHeight="1" thickBot="1">
      <c r="A195" s="13" t="s">
        <v>706</v>
      </c>
      <c r="B195" s="14" t="s">
        <v>754</v>
      </c>
      <c r="C195" s="10">
        <v>925</v>
      </c>
      <c r="D195" s="11">
        <v>925</v>
      </c>
      <c r="E195" s="11">
        <v>925</v>
      </c>
      <c r="F195" s="11"/>
      <c r="G195" s="11">
        <f>E195-F195</f>
        <v>925</v>
      </c>
      <c r="H195" s="15">
        <f>G195/E195</f>
        <v>1</v>
      </c>
    </row>
    <row r="196" spans="1:8" ht="12" customHeight="1">
      <c r="A196" s="16"/>
      <c r="B196" s="17" t="s">
        <v>717</v>
      </c>
      <c r="C196" s="18">
        <f>SUM(C189:C195)</f>
        <v>1584.67</v>
      </c>
      <c r="D196" s="18">
        <f>SUM(D189:D195)</f>
        <v>1583.67</v>
      </c>
      <c r="E196" s="18">
        <f>SUM(E189:E195)</f>
        <v>1583.67</v>
      </c>
      <c r="F196" s="18">
        <f>SUM(F189:F195)</f>
        <v>0</v>
      </c>
      <c r="G196" s="18">
        <f>SUM(G189:G195)</f>
        <v>1583.67</v>
      </c>
      <c r="H196" s="36">
        <f>G196/E196</f>
        <v>1</v>
      </c>
    </row>
    <row r="197" spans="1:8" ht="12.75" customHeight="1">
      <c r="A197" s="19"/>
      <c r="B197" s="20" t="s">
        <v>718</v>
      </c>
      <c r="C197" s="21"/>
      <c r="D197" s="22"/>
      <c r="E197" s="22"/>
      <c r="F197" s="23"/>
      <c r="G197" s="24"/>
      <c r="H197" s="25"/>
    </row>
    <row r="198" spans="1:8" ht="13.5" thickBot="1">
      <c r="A198" s="26"/>
      <c r="B198" s="27" t="s">
        <v>719</v>
      </c>
      <c r="C198" s="28"/>
      <c r="D198" s="29"/>
      <c r="E198" s="29"/>
      <c r="F198" s="28"/>
      <c r="G198" s="30"/>
      <c r="H198" s="31"/>
    </row>
    <row r="199" spans="1:8">
      <c r="A199" s="224" t="s">
        <v>755</v>
      </c>
      <c r="B199" s="224"/>
      <c r="C199" s="224"/>
      <c r="D199" s="224"/>
      <c r="E199" s="224"/>
      <c r="F199" s="224"/>
      <c r="G199" s="224"/>
      <c r="H199" s="225"/>
    </row>
    <row r="200" spans="1:8" ht="12" customHeight="1" thickBot="1">
      <c r="A200" s="3"/>
      <c r="B200" s="4" t="s">
        <v>699</v>
      </c>
      <c r="C200" s="5" t="s">
        <v>700</v>
      </c>
      <c r="D200" s="6" t="s">
        <v>701</v>
      </c>
      <c r="E200" s="6" t="s">
        <v>702</v>
      </c>
      <c r="F200" s="6" t="s">
        <v>703</v>
      </c>
      <c r="G200" s="6" t="s">
        <v>704</v>
      </c>
      <c r="H200" s="7" t="s">
        <v>705</v>
      </c>
    </row>
    <row r="201" spans="1:8" ht="12" customHeight="1">
      <c r="A201" s="8">
        <v>1</v>
      </c>
      <c r="B201" s="9" t="s">
        <v>680</v>
      </c>
      <c r="C201" s="10"/>
      <c r="D201" s="11"/>
      <c r="E201" s="11"/>
      <c r="F201" s="11"/>
      <c r="G201" s="11"/>
      <c r="H201" s="12"/>
    </row>
    <row r="202" spans="1:8">
      <c r="A202" s="13" t="s">
        <v>706</v>
      </c>
      <c r="B202" s="14" t="s">
        <v>682</v>
      </c>
      <c r="C202" s="10">
        <v>7650</v>
      </c>
      <c r="D202" s="11">
        <v>7650</v>
      </c>
      <c r="E202" s="11">
        <v>7650</v>
      </c>
      <c r="F202" s="11">
        <f>7650</f>
        <v>7650</v>
      </c>
      <c r="G202" s="11">
        <f>E202-F202</f>
        <v>0</v>
      </c>
      <c r="H202" s="15">
        <f>G202/E202</f>
        <v>0</v>
      </c>
    </row>
    <row r="203" spans="1:8">
      <c r="A203" s="13" t="s">
        <v>709</v>
      </c>
      <c r="B203" s="14" t="s">
        <v>681</v>
      </c>
      <c r="C203" s="10">
        <v>8000</v>
      </c>
      <c r="D203" s="11">
        <v>5000</v>
      </c>
      <c r="E203" s="11">
        <v>5000</v>
      </c>
      <c r="F203" s="11">
        <f>3600+1400</f>
        <v>5000</v>
      </c>
      <c r="G203" s="11">
        <f>E203-F203</f>
        <v>0</v>
      </c>
      <c r="H203" s="15">
        <f>G203/E203</f>
        <v>0</v>
      </c>
    </row>
    <row r="204" spans="1:8">
      <c r="A204" s="13" t="s">
        <v>710</v>
      </c>
      <c r="B204" s="14" t="s">
        <v>683</v>
      </c>
      <c r="C204" s="10">
        <v>4000</v>
      </c>
      <c r="D204" s="11">
        <v>4000</v>
      </c>
      <c r="E204" s="11">
        <v>4000</v>
      </c>
      <c r="F204" s="11"/>
      <c r="G204" s="11">
        <f>E204-F204</f>
        <v>4000</v>
      </c>
      <c r="H204" s="15">
        <f>G204/E204</f>
        <v>1</v>
      </c>
    </row>
    <row r="205" spans="1:8" ht="12" customHeight="1">
      <c r="A205" s="13" t="s">
        <v>712</v>
      </c>
      <c r="B205" s="14" t="s">
        <v>684</v>
      </c>
      <c r="C205" s="10">
        <v>4000</v>
      </c>
      <c r="D205" s="11">
        <v>4000</v>
      </c>
      <c r="E205" s="11">
        <v>4000</v>
      </c>
      <c r="F205" s="11"/>
      <c r="G205" s="11">
        <f>E205-F205</f>
        <v>4000</v>
      </c>
      <c r="H205" s="15">
        <f>G205/E205</f>
        <v>1</v>
      </c>
    </row>
    <row r="206" spans="1:8" ht="12" customHeight="1">
      <c r="A206" s="8">
        <v>2</v>
      </c>
      <c r="B206" s="9" t="s">
        <v>690</v>
      </c>
      <c r="C206" s="10"/>
      <c r="D206" s="11"/>
      <c r="E206" s="11"/>
      <c r="F206" s="11"/>
      <c r="G206" s="11"/>
      <c r="H206" s="15"/>
    </row>
    <row r="207" spans="1:8" ht="12.75" customHeight="1">
      <c r="A207" s="13" t="s">
        <v>706</v>
      </c>
      <c r="B207" s="14" t="s">
        <v>756</v>
      </c>
      <c r="C207" s="10">
        <v>174</v>
      </c>
      <c r="D207" s="11">
        <v>174</v>
      </c>
      <c r="E207" s="11">
        <v>174</v>
      </c>
      <c r="F207" s="11">
        <v>174</v>
      </c>
      <c r="G207" s="11">
        <f>E207-F207</f>
        <v>0</v>
      </c>
      <c r="H207" s="15">
        <f>G207/E207</f>
        <v>0</v>
      </c>
    </row>
    <row r="208" spans="1:8">
      <c r="A208" s="13" t="s">
        <v>709</v>
      </c>
      <c r="B208" s="14" t="s">
        <v>757</v>
      </c>
      <c r="C208" s="10">
        <v>204</v>
      </c>
      <c r="D208" s="11">
        <v>204</v>
      </c>
      <c r="E208" s="11">
        <v>204</v>
      </c>
      <c r="F208" s="11">
        <v>204</v>
      </c>
      <c r="G208" s="11">
        <f>E208-F208</f>
        <v>0</v>
      </c>
      <c r="H208" s="15">
        <f>G208/E208</f>
        <v>0</v>
      </c>
    </row>
    <row r="209" spans="1:8">
      <c r="A209" s="8">
        <v>3</v>
      </c>
      <c r="B209" s="9" t="s">
        <v>758</v>
      </c>
      <c r="C209" s="10"/>
      <c r="D209" s="11"/>
      <c r="E209" s="11"/>
      <c r="F209" s="11"/>
      <c r="G209" s="11"/>
      <c r="H209" s="12"/>
    </row>
    <row r="210" spans="1:8">
      <c r="A210" s="13" t="s">
        <v>706</v>
      </c>
      <c r="B210" s="14" t="s">
        <v>834</v>
      </c>
      <c r="C210" s="10">
        <v>600</v>
      </c>
      <c r="D210" s="11">
        <v>600</v>
      </c>
      <c r="E210" s="11">
        <v>600</v>
      </c>
      <c r="F210" s="11">
        <f>240</f>
        <v>240</v>
      </c>
      <c r="G210" s="11">
        <f>E210-F210</f>
        <v>360</v>
      </c>
      <c r="H210" s="15">
        <f>G210/E210</f>
        <v>0.6</v>
      </c>
    </row>
    <row r="211" spans="1:8" ht="25.5">
      <c r="A211" s="13" t="s">
        <v>709</v>
      </c>
      <c r="B211" s="14" t="s">
        <v>835</v>
      </c>
      <c r="C211" s="10">
        <v>700</v>
      </c>
      <c r="D211" s="11">
        <v>700</v>
      </c>
      <c r="E211" s="11">
        <v>700</v>
      </c>
      <c r="F211" s="11">
        <f>570</f>
        <v>570</v>
      </c>
      <c r="G211" s="11">
        <f>E211-F211</f>
        <v>130</v>
      </c>
      <c r="H211" s="15">
        <f>G211/E211</f>
        <v>0.18571428571428572</v>
      </c>
    </row>
    <row r="212" spans="1:8" ht="26.25" thickBot="1">
      <c r="A212" s="13" t="s">
        <v>710</v>
      </c>
      <c r="B212" s="14" t="s">
        <v>836</v>
      </c>
      <c r="C212" s="10">
        <v>950</v>
      </c>
      <c r="D212" s="11">
        <v>950</v>
      </c>
      <c r="E212" s="11">
        <v>950</v>
      </c>
      <c r="F212" s="11">
        <f>540</f>
        <v>540</v>
      </c>
      <c r="G212" s="11">
        <f>E212-F212</f>
        <v>410</v>
      </c>
      <c r="H212" s="15">
        <f>G212/E212</f>
        <v>0.43157894736842106</v>
      </c>
    </row>
    <row r="213" spans="1:8">
      <c r="A213" s="16"/>
      <c r="B213" s="17" t="s">
        <v>717</v>
      </c>
      <c r="C213" s="18">
        <f>SUM(C202:C212)</f>
        <v>26278</v>
      </c>
      <c r="D213" s="18">
        <f>SUM(D202:D212)</f>
        <v>23278</v>
      </c>
      <c r="E213" s="18">
        <f>SUM(E202:E212)</f>
        <v>23278</v>
      </c>
      <c r="F213" s="18">
        <f>SUM(F202:F208)</f>
        <v>13028</v>
      </c>
      <c r="G213" s="18">
        <f>SUM(G202:G208)</f>
        <v>8000</v>
      </c>
      <c r="H213" s="18">
        <f>SUM(H202:H208)</f>
        <v>2</v>
      </c>
    </row>
    <row r="214" spans="1:8">
      <c r="A214" s="19"/>
      <c r="B214" s="20" t="s">
        <v>718</v>
      </c>
      <c r="C214" s="21"/>
      <c r="D214" s="22"/>
      <c r="E214" s="22"/>
      <c r="F214" s="23"/>
      <c r="G214" s="24"/>
      <c r="H214" s="25"/>
    </row>
    <row r="215" spans="1:8" ht="13.5" thickBot="1">
      <c r="A215" s="26"/>
      <c r="B215" s="27" t="s">
        <v>719</v>
      </c>
      <c r="C215" s="28"/>
      <c r="D215" s="29"/>
      <c r="E215" s="29"/>
      <c r="F215" s="28"/>
      <c r="G215" s="30"/>
      <c r="H215" s="31"/>
    </row>
    <row r="216" spans="1:8">
      <c r="A216" s="224" t="s">
        <v>692</v>
      </c>
      <c r="B216" s="224"/>
      <c r="C216" s="224"/>
      <c r="D216" s="224"/>
      <c r="E216" s="224"/>
      <c r="F216" s="224"/>
      <c r="G216" s="224"/>
      <c r="H216" s="225"/>
    </row>
    <row r="217" spans="1:8" ht="13.5" thickBot="1">
      <c r="A217" s="3"/>
      <c r="B217" s="4" t="s">
        <v>699</v>
      </c>
      <c r="C217" s="5" t="s">
        <v>700</v>
      </c>
      <c r="D217" s="6" t="s">
        <v>701</v>
      </c>
      <c r="E217" s="6" t="s">
        <v>702</v>
      </c>
      <c r="F217" s="6" t="s">
        <v>703</v>
      </c>
      <c r="G217" s="6" t="s">
        <v>704</v>
      </c>
      <c r="H217" s="7" t="s">
        <v>705</v>
      </c>
    </row>
    <row r="218" spans="1:8">
      <c r="A218" s="8">
        <v>1</v>
      </c>
      <c r="B218" s="9" t="s">
        <v>680</v>
      </c>
      <c r="C218" s="10"/>
      <c r="D218" s="11"/>
      <c r="E218" s="11"/>
      <c r="F218" s="11"/>
      <c r="G218" s="11"/>
      <c r="H218" s="12"/>
    </row>
    <row r="219" spans="1:8" ht="12.75" customHeight="1">
      <c r="A219" s="13" t="s">
        <v>706</v>
      </c>
      <c r="B219" s="14" t="s">
        <v>708</v>
      </c>
      <c r="C219" s="10">
        <v>8</v>
      </c>
      <c r="D219" s="11">
        <v>9</v>
      </c>
      <c r="E219" s="11">
        <v>9</v>
      </c>
      <c r="F219" s="11"/>
      <c r="G219" s="11">
        <f>E219-F219</f>
        <v>9</v>
      </c>
      <c r="H219" s="15">
        <f>G219/E219</f>
        <v>1</v>
      </c>
    </row>
    <row r="220" spans="1:8" ht="13.5" thickBot="1">
      <c r="A220" s="13" t="s">
        <v>709</v>
      </c>
      <c r="B220" s="14" t="s">
        <v>837</v>
      </c>
      <c r="C220" s="10">
        <v>900</v>
      </c>
      <c r="D220" s="11">
        <v>900</v>
      </c>
      <c r="E220" s="11">
        <v>900</v>
      </c>
      <c r="F220" s="11">
        <f>120+270+75</f>
        <v>465</v>
      </c>
      <c r="G220" s="11">
        <f>E220-F220</f>
        <v>435</v>
      </c>
      <c r="H220" s="15">
        <f>G220/E220</f>
        <v>0.48333333333333334</v>
      </c>
    </row>
    <row r="221" spans="1:8">
      <c r="A221" s="16"/>
      <c r="B221" s="17" t="s">
        <v>717</v>
      </c>
      <c r="C221" s="18">
        <f t="shared" ref="C221:H221" si="8">SUM(C219:C220)</f>
        <v>908</v>
      </c>
      <c r="D221" s="18">
        <f t="shared" si="8"/>
        <v>909</v>
      </c>
      <c r="E221" s="18">
        <f t="shared" si="8"/>
        <v>909</v>
      </c>
      <c r="F221" s="18">
        <f t="shared" si="8"/>
        <v>465</v>
      </c>
      <c r="G221" s="18">
        <f t="shared" si="8"/>
        <v>444</v>
      </c>
      <c r="H221" s="18">
        <f t="shared" si="8"/>
        <v>1.4833333333333334</v>
      </c>
    </row>
    <row r="222" spans="1:8">
      <c r="A222" s="19"/>
      <c r="B222" s="20" t="s">
        <v>718</v>
      </c>
      <c r="C222" s="21"/>
      <c r="D222" s="22"/>
      <c r="E222" s="22"/>
      <c r="F222" s="23"/>
      <c r="G222" s="24"/>
      <c r="H222" s="25"/>
    </row>
    <row r="223" spans="1:8" ht="13.5" thickBot="1">
      <c r="A223" s="26"/>
      <c r="B223" s="27" t="s">
        <v>719</v>
      </c>
      <c r="C223" s="28"/>
      <c r="D223" s="29"/>
      <c r="E223" s="29"/>
      <c r="F223" s="28"/>
      <c r="G223" s="30"/>
      <c r="H223" s="31"/>
    </row>
    <row r="224" spans="1:8" ht="12.75" customHeight="1">
      <c r="A224" s="224" t="s">
        <v>720</v>
      </c>
      <c r="B224" s="224"/>
      <c r="C224" s="224"/>
      <c r="D224" s="224"/>
      <c r="E224" s="224"/>
      <c r="F224" s="224"/>
      <c r="G224" s="224"/>
      <c r="H224" s="225"/>
    </row>
    <row r="225" spans="1:8" ht="13.5" thickBot="1">
      <c r="A225" s="3"/>
      <c r="B225" s="4" t="s">
        <v>699</v>
      </c>
      <c r="C225" s="5" t="s">
        <v>700</v>
      </c>
      <c r="D225" s="6" t="s">
        <v>701</v>
      </c>
      <c r="E225" s="6" t="s">
        <v>702</v>
      </c>
      <c r="F225" s="6" t="s">
        <v>703</v>
      </c>
      <c r="G225" s="6" t="s">
        <v>704</v>
      </c>
      <c r="H225" s="7" t="s">
        <v>705</v>
      </c>
    </row>
    <row r="226" spans="1:8">
      <c r="A226" s="8">
        <v>1</v>
      </c>
      <c r="B226" s="9" t="s">
        <v>680</v>
      </c>
      <c r="C226" s="10"/>
      <c r="D226" s="11"/>
      <c r="E226" s="11"/>
      <c r="F226" s="11"/>
      <c r="G226" s="11"/>
      <c r="H226" s="12"/>
    </row>
    <row r="227" spans="1:8">
      <c r="A227" s="13" t="s">
        <v>706</v>
      </c>
      <c r="B227" s="14" t="s">
        <v>723</v>
      </c>
      <c r="C227" s="10">
        <v>1548</v>
      </c>
      <c r="D227" s="11">
        <v>1548</v>
      </c>
      <c r="E227" s="11">
        <v>1548</v>
      </c>
      <c r="F227" s="11"/>
      <c r="G227" s="11">
        <f t="shared" ref="G227:G232" si="9">E227-F227</f>
        <v>1548</v>
      </c>
      <c r="H227" s="15">
        <f t="shared" ref="H227:H232" si="10">G227/E227</f>
        <v>1</v>
      </c>
    </row>
    <row r="228" spans="1:8" ht="12.75" customHeight="1">
      <c r="A228" s="13" t="s">
        <v>709</v>
      </c>
      <c r="B228" s="14" t="s">
        <v>838</v>
      </c>
      <c r="C228" s="10">
        <v>610</v>
      </c>
      <c r="D228" s="11">
        <v>610</v>
      </c>
      <c r="E228" s="11">
        <v>610</v>
      </c>
      <c r="F228" s="11"/>
      <c r="G228" s="11">
        <f t="shared" si="9"/>
        <v>610</v>
      </c>
      <c r="H228" s="15">
        <f t="shared" si="10"/>
        <v>1</v>
      </c>
    </row>
    <row r="229" spans="1:8">
      <c r="A229" s="13" t="s">
        <v>710</v>
      </c>
      <c r="B229" s="14" t="s">
        <v>708</v>
      </c>
      <c r="C229" s="10">
        <v>10</v>
      </c>
      <c r="D229" s="11">
        <v>9</v>
      </c>
      <c r="E229" s="11">
        <v>9</v>
      </c>
      <c r="F229" s="11"/>
      <c r="G229" s="11">
        <f t="shared" si="9"/>
        <v>9</v>
      </c>
      <c r="H229" s="15">
        <f t="shared" si="10"/>
        <v>1</v>
      </c>
    </row>
    <row r="230" spans="1:8">
      <c r="A230" s="13" t="s">
        <v>712</v>
      </c>
      <c r="B230" s="14" t="s">
        <v>711</v>
      </c>
      <c r="C230" s="10">
        <v>20</v>
      </c>
      <c r="D230" s="11">
        <v>20</v>
      </c>
      <c r="E230" s="11">
        <v>20</v>
      </c>
      <c r="F230" s="11"/>
      <c r="G230" s="11">
        <f t="shared" si="9"/>
        <v>20</v>
      </c>
      <c r="H230" s="15">
        <f t="shared" si="10"/>
        <v>1</v>
      </c>
    </row>
    <row r="231" spans="1:8">
      <c r="A231" s="13" t="s">
        <v>713</v>
      </c>
      <c r="B231" s="14" t="s">
        <v>721</v>
      </c>
      <c r="C231" s="10">
        <v>2000</v>
      </c>
      <c r="D231" s="11">
        <v>2000</v>
      </c>
      <c r="E231" s="11">
        <v>2000</v>
      </c>
      <c r="F231" s="11">
        <f>2000</f>
        <v>2000</v>
      </c>
      <c r="G231" s="11">
        <f t="shared" si="9"/>
        <v>0</v>
      </c>
      <c r="H231" s="15">
        <f t="shared" si="10"/>
        <v>0</v>
      </c>
    </row>
    <row r="232" spans="1:8">
      <c r="A232" s="13" t="s">
        <v>712</v>
      </c>
      <c r="B232" s="14" t="s">
        <v>722</v>
      </c>
      <c r="C232" s="10">
        <v>6000</v>
      </c>
      <c r="D232" s="11">
        <v>6000</v>
      </c>
      <c r="E232" s="11">
        <v>6000</v>
      </c>
      <c r="F232" s="11"/>
      <c r="G232" s="11">
        <f t="shared" si="9"/>
        <v>6000</v>
      </c>
      <c r="H232" s="15">
        <f t="shared" si="10"/>
        <v>1</v>
      </c>
    </row>
    <row r="233" spans="1:8" ht="12.75" customHeight="1">
      <c r="A233" s="8">
        <v>2</v>
      </c>
      <c r="B233" s="9" t="s">
        <v>769</v>
      </c>
      <c r="C233" s="10"/>
      <c r="D233" s="11"/>
      <c r="E233" s="11"/>
      <c r="F233" s="11"/>
      <c r="G233" s="11"/>
      <c r="H233" s="15"/>
    </row>
    <row r="234" spans="1:8">
      <c r="A234" s="13" t="s">
        <v>706</v>
      </c>
      <c r="B234" s="14" t="s">
        <v>594</v>
      </c>
      <c r="C234" s="10">
        <v>4740</v>
      </c>
      <c r="D234" s="11">
        <v>4740</v>
      </c>
      <c r="E234" s="11">
        <v>4740</v>
      </c>
      <c r="F234" s="11">
        <f>300.7</f>
        <v>300.7</v>
      </c>
      <c r="G234" s="11">
        <f>E234-F234</f>
        <v>4439.3</v>
      </c>
      <c r="H234" s="15">
        <f>G234/E234</f>
        <v>0.93656118143459921</v>
      </c>
    </row>
    <row r="235" spans="1:8" ht="13.5" thickBot="1">
      <c r="A235" s="13" t="s">
        <v>709</v>
      </c>
      <c r="B235" s="14" t="s">
        <v>724</v>
      </c>
      <c r="C235" s="10">
        <v>2160</v>
      </c>
      <c r="D235" s="11">
        <v>2160</v>
      </c>
      <c r="E235" s="11">
        <v>2160</v>
      </c>
      <c r="F235" s="11">
        <f>270+300+330</f>
        <v>900</v>
      </c>
      <c r="G235" s="11">
        <f>E235-F235</f>
        <v>1260</v>
      </c>
      <c r="H235" s="15">
        <f>G235/E235</f>
        <v>0.58333333333333337</v>
      </c>
    </row>
    <row r="236" spans="1:8">
      <c r="A236" s="16"/>
      <c r="B236" s="17" t="s">
        <v>717</v>
      </c>
      <c r="C236" s="18">
        <f t="shared" ref="C236:H236" si="11">SUM(C227:C235)</f>
        <v>17088</v>
      </c>
      <c r="D236" s="18">
        <f t="shared" si="11"/>
        <v>17087</v>
      </c>
      <c r="E236" s="18">
        <f t="shared" si="11"/>
        <v>17087</v>
      </c>
      <c r="F236" s="18">
        <f t="shared" si="11"/>
        <v>3200.7</v>
      </c>
      <c r="G236" s="18">
        <f t="shared" si="11"/>
        <v>13886.3</v>
      </c>
      <c r="H236" s="18">
        <f t="shared" si="11"/>
        <v>6.5198945147679321</v>
      </c>
    </row>
    <row r="237" spans="1:8">
      <c r="A237" s="19"/>
      <c r="B237" s="20" t="s">
        <v>718</v>
      </c>
      <c r="C237" s="21"/>
      <c r="D237" s="22"/>
      <c r="E237" s="22"/>
      <c r="F237" s="23"/>
      <c r="G237" s="24"/>
      <c r="H237" s="25"/>
    </row>
    <row r="238" spans="1:8" ht="13.5" thickBot="1">
      <c r="A238" s="26"/>
      <c r="B238" s="27" t="s">
        <v>719</v>
      </c>
      <c r="C238" s="28"/>
      <c r="D238" s="29"/>
      <c r="E238" s="29"/>
      <c r="F238" s="28"/>
      <c r="G238" s="30"/>
      <c r="H238" s="31"/>
    </row>
    <row r="239" spans="1:8">
      <c r="A239" s="224" t="s">
        <v>595</v>
      </c>
      <c r="B239" s="224"/>
      <c r="C239" s="224"/>
      <c r="D239" s="224"/>
      <c r="E239" s="224"/>
      <c r="F239" s="224"/>
      <c r="G239" s="224"/>
      <c r="H239" s="225"/>
    </row>
    <row r="240" spans="1:8" ht="12.75" customHeight="1" thickBot="1">
      <c r="A240" s="3"/>
      <c r="B240" s="4" t="s">
        <v>699</v>
      </c>
      <c r="C240" s="5" t="s">
        <v>700</v>
      </c>
      <c r="D240" s="6" t="s">
        <v>701</v>
      </c>
      <c r="E240" s="6" t="s">
        <v>702</v>
      </c>
      <c r="F240" s="6" t="s">
        <v>703</v>
      </c>
      <c r="G240" s="6" t="s">
        <v>704</v>
      </c>
      <c r="H240" s="7" t="s">
        <v>705</v>
      </c>
    </row>
    <row r="241" spans="1:8">
      <c r="A241" s="8">
        <v>1</v>
      </c>
      <c r="B241" s="9" t="s">
        <v>686</v>
      </c>
      <c r="C241" s="10"/>
      <c r="D241" s="11"/>
      <c r="E241" s="11"/>
      <c r="F241" s="11"/>
      <c r="G241" s="11"/>
      <c r="H241" s="12"/>
    </row>
    <row r="242" spans="1:8">
      <c r="A242" s="13" t="s">
        <v>706</v>
      </c>
      <c r="B242" s="14" t="s">
        <v>711</v>
      </c>
      <c r="C242" s="10">
        <v>50</v>
      </c>
      <c r="D242" s="11">
        <v>50</v>
      </c>
      <c r="E242" s="11">
        <v>50</v>
      </c>
      <c r="F242" s="11">
        <f>50</f>
        <v>50</v>
      </c>
      <c r="G242" s="11">
        <f>E242-F242</f>
        <v>0</v>
      </c>
      <c r="H242" s="15">
        <f>G242/E242</f>
        <v>0</v>
      </c>
    </row>
    <row r="243" spans="1:8">
      <c r="A243" s="13" t="s">
        <v>709</v>
      </c>
      <c r="B243" s="14" t="s">
        <v>676</v>
      </c>
      <c r="C243" s="10">
        <v>9</v>
      </c>
      <c r="D243" s="11">
        <v>9</v>
      </c>
      <c r="E243" s="11">
        <v>9</v>
      </c>
      <c r="F243" s="11">
        <f>3.5</f>
        <v>3.5</v>
      </c>
      <c r="G243" s="11">
        <f>E243-F243</f>
        <v>5.5</v>
      </c>
      <c r="H243" s="15">
        <f>G243/E243</f>
        <v>0.61111111111111116</v>
      </c>
    </row>
    <row r="244" spans="1:8">
      <c r="A244" s="8">
        <v>2</v>
      </c>
      <c r="B244" s="9" t="s">
        <v>680</v>
      </c>
      <c r="C244" s="10"/>
      <c r="D244" s="11"/>
      <c r="E244" s="11"/>
      <c r="F244" s="11"/>
      <c r="G244" s="11"/>
      <c r="H244" s="15"/>
    </row>
    <row r="245" spans="1:8" ht="12.75" customHeight="1">
      <c r="A245" s="13" t="s">
        <v>706</v>
      </c>
      <c r="B245" s="14" t="s">
        <v>683</v>
      </c>
      <c r="C245" s="10">
        <v>3000</v>
      </c>
      <c r="D245" s="11">
        <v>3000</v>
      </c>
      <c r="E245" s="11">
        <v>3000</v>
      </c>
      <c r="F245" s="11">
        <f>3000</f>
        <v>3000</v>
      </c>
      <c r="G245" s="11">
        <f>E245-F245</f>
        <v>0</v>
      </c>
      <c r="H245" s="15">
        <f>G245/E245</f>
        <v>0</v>
      </c>
    </row>
    <row r="246" spans="1:8">
      <c r="A246" s="13" t="s">
        <v>709</v>
      </c>
      <c r="B246" s="14" t="s">
        <v>691</v>
      </c>
      <c r="C246" s="10">
        <v>400</v>
      </c>
      <c r="D246" s="11">
        <v>400</v>
      </c>
      <c r="E246" s="11">
        <v>400</v>
      </c>
      <c r="F246" s="11">
        <f>300</f>
        <v>300</v>
      </c>
      <c r="G246" s="11">
        <f>E246-F246</f>
        <v>100</v>
      </c>
      <c r="H246" s="15">
        <f>G246/E246</f>
        <v>0.25</v>
      </c>
    </row>
    <row r="247" spans="1:8">
      <c r="A247" s="13" t="s">
        <v>710</v>
      </c>
      <c r="B247" s="14" t="s">
        <v>852</v>
      </c>
      <c r="C247" s="10">
        <v>400</v>
      </c>
      <c r="D247" s="11">
        <v>400</v>
      </c>
      <c r="E247" s="11">
        <v>400</v>
      </c>
      <c r="F247" s="11">
        <f>300</f>
        <v>300</v>
      </c>
      <c r="G247" s="11">
        <f>E247-F247</f>
        <v>100</v>
      </c>
      <c r="H247" s="15">
        <f>G247/E247</f>
        <v>0.25</v>
      </c>
    </row>
    <row r="248" spans="1:8">
      <c r="A248" s="13" t="s">
        <v>712</v>
      </c>
      <c r="B248" s="14" t="s">
        <v>910</v>
      </c>
      <c r="C248" s="10">
        <v>1350</v>
      </c>
      <c r="D248" s="11">
        <v>1350</v>
      </c>
      <c r="E248" s="11">
        <v>1350</v>
      </c>
      <c r="F248" s="11">
        <f>530</f>
        <v>530</v>
      </c>
      <c r="G248" s="11">
        <f>E248-F248</f>
        <v>820</v>
      </c>
      <c r="H248" s="15">
        <f>G248/E248</f>
        <v>0.6074074074074074</v>
      </c>
    </row>
    <row r="249" spans="1:8">
      <c r="A249" s="13" t="s">
        <v>713</v>
      </c>
      <c r="B249" s="14" t="s">
        <v>596</v>
      </c>
      <c r="C249" s="10">
        <v>75</v>
      </c>
      <c r="D249" s="11">
        <v>75</v>
      </c>
      <c r="E249" s="11">
        <v>75</v>
      </c>
      <c r="F249" s="11"/>
      <c r="G249" s="11">
        <f>E249-F249</f>
        <v>75</v>
      </c>
      <c r="H249" s="15">
        <f>G249/E249</f>
        <v>1</v>
      </c>
    </row>
    <row r="250" spans="1:8">
      <c r="A250" s="8">
        <v>3</v>
      </c>
      <c r="B250" s="9" t="s">
        <v>597</v>
      </c>
      <c r="C250" s="10"/>
      <c r="D250" s="11"/>
      <c r="E250" s="11"/>
      <c r="F250" s="11"/>
      <c r="G250" s="11"/>
      <c r="H250" s="15"/>
    </row>
    <row r="251" spans="1:8">
      <c r="A251" s="13" t="s">
        <v>706</v>
      </c>
      <c r="B251" s="14" t="s">
        <v>916</v>
      </c>
      <c r="C251" s="10">
        <v>500</v>
      </c>
      <c r="D251" s="11">
        <v>500</v>
      </c>
      <c r="E251" s="11">
        <v>500</v>
      </c>
      <c r="F251" s="11"/>
      <c r="G251" s="11">
        <f>E251-F251</f>
        <v>500</v>
      </c>
      <c r="H251" s="15">
        <f>G251/E251</f>
        <v>1</v>
      </c>
    </row>
    <row r="252" spans="1:8">
      <c r="A252" s="13" t="s">
        <v>709</v>
      </c>
      <c r="B252" s="14" t="s">
        <v>598</v>
      </c>
      <c r="C252" s="10">
        <v>500</v>
      </c>
      <c r="D252" s="11">
        <v>500</v>
      </c>
      <c r="E252" s="11">
        <v>500</v>
      </c>
      <c r="F252" s="11"/>
      <c r="G252" s="11">
        <f>E252-F252</f>
        <v>500</v>
      </c>
      <c r="H252" s="15">
        <f>G252/E252</f>
        <v>1</v>
      </c>
    </row>
    <row r="253" spans="1:8" ht="13.5" thickBot="1">
      <c r="A253" s="13" t="s">
        <v>710</v>
      </c>
      <c r="B253" s="14" t="s">
        <v>599</v>
      </c>
      <c r="C253" s="10">
        <v>350</v>
      </c>
      <c r="D253" s="11">
        <v>350</v>
      </c>
      <c r="E253" s="11">
        <v>350</v>
      </c>
      <c r="F253" s="11">
        <f>300</f>
        <v>300</v>
      </c>
      <c r="G253" s="11">
        <f>E253-F253</f>
        <v>50</v>
      </c>
      <c r="H253" s="15">
        <f>G253/E253</f>
        <v>0.14285714285714285</v>
      </c>
    </row>
    <row r="254" spans="1:8">
      <c r="A254" s="16"/>
      <c r="B254" s="17" t="s">
        <v>717</v>
      </c>
      <c r="C254" s="18">
        <f t="shared" ref="C254:H254" si="12">SUM(C242:C253)</f>
        <v>6634</v>
      </c>
      <c r="D254" s="18">
        <f t="shared" si="12"/>
        <v>6634</v>
      </c>
      <c r="E254" s="18">
        <f t="shared" si="12"/>
        <v>6634</v>
      </c>
      <c r="F254" s="18">
        <f t="shared" si="12"/>
        <v>4483.5</v>
      </c>
      <c r="G254" s="18">
        <f t="shared" si="12"/>
        <v>2150.5</v>
      </c>
      <c r="H254" s="18">
        <f t="shared" si="12"/>
        <v>4.8613756613756616</v>
      </c>
    </row>
    <row r="255" spans="1:8">
      <c r="A255" s="19"/>
      <c r="B255" s="20" t="s">
        <v>718</v>
      </c>
      <c r="C255" s="21"/>
      <c r="D255" s="22"/>
      <c r="E255" s="22"/>
      <c r="F255" s="23"/>
      <c r="G255" s="24"/>
      <c r="H255" s="25"/>
    </row>
    <row r="256" spans="1:8" ht="13.5" thickBot="1">
      <c r="A256" s="26"/>
      <c r="B256" s="27" t="s">
        <v>719</v>
      </c>
      <c r="C256" s="28"/>
      <c r="D256" s="29"/>
      <c r="E256" s="29"/>
      <c r="F256" s="28"/>
      <c r="G256" s="30"/>
      <c r="H256" s="31"/>
    </row>
    <row r="257" spans="1:8" ht="12.75" customHeight="1">
      <c r="A257" s="224" t="s">
        <v>914</v>
      </c>
      <c r="B257" s="224"/>
      <c r="C257" s="224"/>
      <c r="D257" s="224"/>
      <c r="E257" s="224"/>
      <c r="F257" s="224"/>
      <c r="G257" s="224"/>
      <c r="H257" s="225"/>
    </row>
    <row r="258" spans="1:8" ht="13.5" thickBot="1">
      <c r="A258" s="3"/>
      <c r="B258" s="4" t="s">
        <v>699</v>
      </c>
      <c r="C258" s="5" t="s">
        <v>700</v>
      </c>
      <c r="D258" s="6" t="s">
        <v>701</v>
      </c>
      <c r="E258" s="6" t="s">
        <v>702</v>
      </c>
      <c r="F258" s="6" t="s">
        <v>703</v>
      </c>
      <c r="G258" s="6" t="s">
        <v>704</v>
      </c>
      <c r="H258" s="7" t="s">
        <v>705</v>
      </c>
    </row>
    <row r="259" spans="1:8">
      <c r="A259" s="8">
        <v>1</v>
      </c>
      <c r="B259" s="9" t="s">
        <v>686</v>
      </c>
      <c r="C259" s="10"/>
      <c r="D259" s="11"/>
      <c r="E259" s="11"/>
      <c r="F259" s="11"/>
      <c r="G259" s="11"/>
      <c r="H259" s="12"/>
    </row>
    <row r="260" spans="1:8">
      <c r="A260" s="13" t="s">
        <v>706</v>
      </c>
      <c r="B260" s="14" t="s">
        <v>711</v>
      </c>
      <c r="C260" s="10">
        <v>50</v>
      </c>
      <c r="D260" s="11">
        <v>50</v>
      </c>
      <c r="E260" s="11">
        <v>50</v>
      </c>
      <c r="F260" s="11"/>
      <c r="G260" s="11">
        <f>E260-F260</f>
        <v>50</v>
      </c>
      <c r="H260" s="15">
        <f>G260/E260</f>
        <v>1</v>
      </c>
    </row>
    <row r="261" spans="1:8">
      <c r="A261" s="13" t="s">
        <v>709</v>
      </c>
      <c r="B261" s="14" t="s">
        <v>676</v>
      </c>
      <c r="C261" s="10">
        <v>9</v>
      </c>
      <c r="D261" s="11">
        <v>9</v>
      </c>
      <c r="E261" s="11">
        <v>9</v>
      </c>
      <c r="F261" s="11"/>
      <c r="G261" s="11">
        <f>E261-F261</f>
        <v>9</v>
      </c>
      <c r="H261" s="15">
        <f>G261/E261</f>
        <v>1</v>
      </c>
    </row>
    <row r="262" spans="1:8" ht="12.75" customHeight="1">
      <c r="A262" s="8">
        <v>2</v>
      </c>
      <c r="B262" s="9" t="s">
        <v>690</v>
      </c>
      <c r="C262" s="10"/>
      <c r="D262" s="11"/>
      <c r="E262" s="11"/>
      <c r="F262" s="11"/>
      <c r="G262" s="11"/>
      <c r="H262" s="15"/>
    </row>
    <row r="263" spans="1:8">
      <c r="A263" s="13" t="s">
        <v>706</v>
      </c>
      <c r="B263" s="14" t="s">
        <v>600</v>
      </c>
      <c r="C263" s="10">
        <v>10</v>
      </c>
      <c r="D263" s="11">
        <v>10</v>
      </c>
      <c r="E263" s="11">
        <v>10</v>
      </c>
      <c r="F263" s="11"/>
      <c r="G263" s="11">
        <f>E263-F263</f>
        <v>10</v>
      </c>
      <c r="H263" s="15">
        <f>G263/E263</f>
        <v>1</v>
      </c>
    </row>
    <row r="264" spans="1:8">
      <c r="A264" s="13" t="s">
        <v>709</v>
      </c>
      <c r="B264" s="14" t="s">
        <v>601</v>
      </c>
      <c r="C264" s="10">
        <v>30</v>
      </c>
      <c r="D264" s="11">
        <v>30</v>
      </c>
      <c r="E264" s="11">
        <v>30</v>
      </c>
      <c r="F264" s="11"/>
      <c r="G264" s="11">
        <f>E264-F264</f>
        <v>30</v>
      </c>
      <c r="H264" s="15">
        <f>G264/E264</f>
        <v>1</v>
      </c>
    </row>
    <row r="265" spans="1:8">
      <c r="A265" s="13" t="s">
        <v>710</v>
      </c>
      <c r="B265" s="14" t="s">
        <v>602</v>
      </c>
      <c r="C265" s="10">
        <v>40</v>
      </c>
      <c r="D265" s="11">
        <v>40</v>
      </c>
      <c r="E265" s="11">
        <v>40</v>
      </c>
      <c r="F265" s="11"/>
      <c r="G265" s="11">
        <f>E265-F265</f>
        <v>40</v>
      </c>
      <c r="H265" s="15">
        <f>G265/E265</f>
        <v>1</v>
      </c>
    </row>
    <row r="266" spans="1:8" ht="15.95" customHeight="1">
      <c r="A266" s="13" t="s">
        <v>712</v>
      </c>
      <c r="B266" s="14" t="s">
        <v>912</v>
      </c>
      <c r="C266" s="10">
        <v>100</v>
      </c>
      <c r="D266" s="11">
        <v>100</v>
      </c>
      <c r="E266" s="11">
        <v>100</v>
      </c>
      <c r="F266" s="11"/>
      <c r="G266" s="11">
        <f>E266-F266</f>
        <v>100</v>
      </c>
      <c r="H266" s="15">
        <f>G266/E266</f>
        <v>1</v>
      </c>
    </row>
    <row r="267" spans="1:8" ht="18" customHeight="1" thickBot="1">
      <c r="A267" s="13" t="s">
        <v>713</v>
      </c>
      <c r="B267" s="14" t="s">
        <v>603</v>
      </c>
      <c r="C267" s="10">
        <v>80</v>
      </c>
      <c r="D267" s="11">
        <v>80</v>
      </c>
      <c r="E267" s="11">
        <v>80</v>
      </c>
      <c r="F267" s="11"/>
      <c r="G267" s="11">
        <f>E267-F267</f>
        <v>80</v>
      </c>
      <c r="H267" s="15">
        <f>G267/E267</f>
        <v>1</v>
      </c>
    </row>
    <row r="268" spans="1:8">
      <c r="A268" s="16"/>
      <c r="B268" s="17" t="s">
        <v>717</v>
      </c>
      <c r="C268" s="18">
        <f t="shared" ref="C268:H268" si="13">SUM(C260:C267)</f>
        <v>319</v>
      </c>
      <c r="D268" s="18">
        <f t="shared" si="13"/>
        <v>319</v>
      </c>
      <c r="E268" s="18">
        <f t="shared" si="13"/>
        <v>319</v>
      </c>
      <c r="F268" s="18">
        <f t="shared" si="13"/>
        <v>0</v>
      </c>
      <c r="G268" s="18">
        <f t="shared" si="13"/>
        <v>319</v>
      </c>
      <c r="H268" s="18">
        <f t="shared" si="13"/>
        <v>7</v>
      </c>
    </row>
    <row r="269" spans="1:8">
      <c r="A269" s="19"/>
      <c r="B269" s="20" t="s">
        <v>718</v>
      </c>
      <c r="C269" s="21"/>
      <c r="D269" s="22"/>
      <c r="E269" s="22"/>
      <c r="F269" s="23"/>
      <c r="G269" s="24"/>
      <c r="H269" s="25"/>
    </row>
    <row r="270" spans="1:8" ht="13.5" thickBot="1">
      <c r="A270" s="26"/>
      <c r="B270" s="27" t="s">
        <v>719</v>
      </c>
      <c r="C270" s="28"/>
      <c r="D270" s="29"/>
      <c r="E270" s="29"/>
      <c r="F270" s="28"/>
      <c r="G270" s="30"/>
      <c r="H270" s="31"/>
    </row>
    <row r="271" spans="1:8">
      <c r="A271" s="224" t="s">
        <v>725</v>
      </c>
      <c r="B271" s="224"/>
      <c r="C271" s="224"/>
      <c r="D271" s="224"/>
      <c r="E271" s="224"/>
      <c r="F271" s="224"/>
      <c r="G271" s="224"/>
      <c r="H271" s="225"/>
    </row>
    <row r="272" spans="1:8" ht="13.5" thickBot="1">
      <c r="A272" s="3"/>
      <c r="B272" s="4" t="s">
        <v>699</v>
      </c>
      <c r="C272" s="5" t="s">
        <v>700</v>
      </c>
      <c r="D272" s="6" t="s">
        <v>701</v>
      </c>
      <c r="E272" s="6" t="s">
        <v>702</v>
      </c>
      <c r="F272" s="6" t="s">
        <v>703</v>
      </c>
      <c r="G272" s="6" t="s">
        <v>704</v>
      </c>
      <c r="H272" s="7" t="s">
        <v>705</v>
      </c>
    </row>
    <row r="273" spans="1:11">
      <c r="A273" s="8">
        <v>1</v>
      </c>
      <c r="B273" s="9" t="s">
        <v>686</v>
      </c>
      <c r="C273" s="10"/>
      <c r="D273" s="11"/>
      <c r="E273" s="11"/>
      <c r="F273" s="11"/>
      <c r="G273" s="11"/>
      <c r="H273" s="12"/>
    </row>
    <row r="274" spans="1:11">
      <c r="A274" s="13" t="s">
        <v>706</v>
      </c>
      <c r="B274" s="14" t="s">
        <v>711</v>
      </c>
      <c r="C274" s="10">
        <v>50</v>
      </c>
      <c r="D274" s="11">
        <v>50</v>
      </c>
      <c r="E274" s="11">
        <v>50</v>
      </c>
      <c r="F274" s="11">
        <f>50</f>
        <v>50</v>
      </c>
      <c r="G274" s="11">
        <f>E274-F274</f>
        <v>0</v>
      </c>
      <c r="H274" s="15">
        <f>G274/E274</f>
        <v>0</v>
      </c>
    </row>
    <row r="275" spans="1:11">
      <c r="A275" s="13" t="s">
        <v>709</v>
      </c>
      <c r="B275" s="14" t="s">
        <v>708</v>
      </c>
      <c r="C275" s="10">
        <v>9</v>
      </c>
      <c r="D275" s="11">
        <v>9</v>
      </c>
      <c r="E275" s="11">
        <v>9</v>
      </c>
      <c r="F275" s="11">
        <f>9</f>
        <v>9</v>
      </c>
      <c r="G275" s="11">
        <f>E275-F275</f>
        <v>0</v>
      </c>
      <c r="H275" s="15">
        <f>G275/E275</f>
        <v>0</v>
      </c>
    </row>
    <row r="276" spans="1:11">
      <c r="A276" s="8">
        <v>2</v>
      </c>
      <c r="B276" s="9" t="s">
        <v>687</v>
      </c>
      <c r="C276" s="10"/>
      <c r="D276" s="11"/>
      <c r="E276" s="11"/>
      <c r="F276" s="11"/>
      <c r="G276" s="11"/>
      <c r="H276" s="15"/>
    </row>
    <row r="277" spans="1:11">
      <c r="A277" s="13" t="s">
        <v>706</v>
      </c>
      <c r="B277" s="14" t="s">
        <v>913</v>
      </c>
      <c r="C277" s="10">
        <v>2707.09</v>
      </c>
      <c r="D277" s="11" t="s">
        <v>491</v>
      </c>
      <c r="E277" s="11" t="s">
        <v>491</v>
      </c>
      <c r="F277" s="11"/>
      <c r="G277" s="11" t="e">
        <f>E277-F277</f>
        <v>#VALUE!</v>
      </c>
      <c r="H277" s="15" t="e">
        <f>G277/E277</f>
        <v>#VALUE!</v>
      </c>
    </row>
    <row r="278" spans="1:11">
      <c r="A278" s="13" t="s">
        <v>709</v>
      </c>
      <c r="B278" s="14" t="s">
        <v>915</v>
      </c>
      <c r="C278" s="10">
        <v>1624.26</v>
      </c>
      <c r="D278" s="11" t="s">
        <v>491</v>
      </c>
      <c r="E278" s="11" t="s">
        <v>491</v>
      </c>
      <c r="F278" s="11"/>
      <c r="G278" s="11" t="e">
        <f>E278-F278</f>
        <v>#VALUE!</v>
      </c>
      <c r="H278" s="15" t="e">
        <f>G278/E278</f>
        <v>#VALUE!</v>
      </c>
    </row>
    <row r="279" spans="1:11">
      <c r="A279" s="8">
        <v>3</v>
      </c>
      <c r="B279" s="9" t="s">
        <v>597</v>
      </c>
      <c r="C279" s="10"/>
      <c r="D279" s="11"/>
      <c r="E279" s="11"/>
      <c r="F279" s="11"/>
      <c r="G279" s="11"/>
      <c r="H279" s="15"/>
    </row>
    <row r="280" spans="1:11">
      <c r="A280" s="13" t="s">
        <v>706</v>
      </c>
      <c r="B280" s="14" t="s">
        <v>604</v>
      </c>
      <c r="C280" s="10">
        <v>50</v>
      </c>
      <c r="D280" s="11">
        <v>50</v>
      </c>
      <c r="E280" s="11">
        <v>50</v>
      </c>
      <c r="F280" s="11">
        <f>50</f>
        <v>50</v>
      </c>
      <c r="G280" s="11">
        <f>E280-F280</f>
        <v>0</v>
      </c>
      <c r="H280" s="15">
        <f>G280/E280</f>
        <v>0</v>
      </c>
    </row>
    <row r="281" spans="1:11">
      <c r="A281" s="13" t="s">
        <v>709</v>
      </c>
      <c r="B281" s="14" t="s">
        <v>605</v>
      </c>
      <c r="C281" s="10">
        <v>50</v>
      </c>
      <c r="D281" s="11">
        <v>50</v>
      </c>
      <c r="E281" s="11">
        <v>50</v>
      </c>
      <c r="F281" s="11">
        <f>50</f>
        <v>50</v>
      </c>
      <c r="G281" s="11">
        <f>E281-F281</f>
        <v>0</v>
      </c>
      <c r="H281" s="15">
        <f>G281/E281</f>
        <v>0</v>
      </c>
    </row>
    <row r="282" spans="1:11">
      <c r="A282" s="13" t="s">
        <v>710</v>
      </c>
      <c r="B282" s="14" t="s">
        <v>606</v>
      </c>
      <c r="C282" s="10">
        <v>270</v>
      </c>
      <c r="D282" s="11">
        <v>270</v>
      </c>
      <c r="E282" s="11">
        <v>270</v>
      </c>
      <c r="F282" s="11">
        <f>270</f>
        <v>270</v>
      </c>
      <c r="G282" s="11">
        <f>E282-F282</f>
        <v>0</v>
      </c>
      <c r="H282" s="15">
        <f>G282/E282</f>
        <v>0</v>
      </c>
    </row>
    <row r="283" spans="1:11">
      <c r="A283" s="13" t="s">
        <v>712</v>
      </c>
      <c r="B283" s="14" t="s">
        <v>607</v>
      </c>
      <c r="C283" s="10">
        <v>300</v>
      </c>
      <c r="D283" s="11">
        <v>300</v>
      </c>
      <c r="E283" s="11">
        <v>300</v>
      </c>
      <c r="F283" s="11">
        <f>130+30</f>
        <v>160</v>
      </c>
      <c r="G283" s="11">
        <f>E283-F283</f>
        <v>140</v>
      </c>
      <c r="H283" s="15">
        <f>G283/E283</f>
        <v>0.46666666666666667</v>
      </c>
      <c r="I283">
        <f>300-55</f>
        <v>245</v>
      </c>
    </row>
    <row r="284" spans="1:11">
      <c r="A284" s="13" t="s">
        <v>713</v>
      </c>
      <c r="B284" s="14" t="s">
        <v>608</v>
      </c>
      <c r="C284" s="10">
        <v>300</v>
      </c>
      <c r="D284" s="11">
        <v>300</v>
      </c>
      <c r="E284" s="11">
        <v>300</v>
      </c>
      <c r="F284" s="11">
        <f>300</f>
        <v>300</v>
      </c>
      <c r="G284" s="11">
        <f>E284-F284</f>
        <v>0</v>
      </c>
      <c r="H284" s="15">
        <f>G284/E284</f>
        <v>0</v>
      </c>
    </row>
    <row r="285" spans="1:11">
      <c r="A285" s="8">
        <v>4</v>
      </c>
      <c r="B285" s="9" t="s">
        <v>690</v>
      </c>
      <c r="C285" s="10"/>
      <c r="D285" s="11"/>
      <c r="E285" s="11"/>
      <c r="F285" s="11"/>
      <c r="G285" s="11"/>
      <c r="H285" s="15"/>
    </row>
    <row r="286" spans="1:11" ht="12.75" customHeight="1">
      <c r="A286" s="13" t="s">
        <v>706</v>
      </c>
      <c r="B286" s="14" t="s">
        <v>726</v>
      </c>
      <c r="C286" s="10">
        <v>954.4</v>
      </c>
      <c r="D286" s="11">
        <v>954.4</v>
      </c>
      <c r="E286" s="11">
        <v>954.4</v>
      </c>
      <c r="F286" s="11">
        <f>693</f>
        <v>693</v>
      </c>
      <c r="G286" s="11">
        <f t="shared" ref="G286:G294" si="14">E286-F286</f>
        <v>261.39999999999998</v>
      </c>
      <c r="H286" s="15">
        <f t="shared" ref="H286:H294" si="15">G286/E286</f>
        <v>0.27388935456831515</v>
      </c>
    </row>
    <row r="287" spans="1:11">
      <c r="A287" s="13" t="s">
        <v>709</v>
      </c>
      <c r="B287" s="14" t="s">
        <v>727</v>
      </c>
      <c r="C287" s="10">
        <v>213.6</v>
      </c>
      <c r="D287" s="11">
        <v>213.6</v>
      </c>
      <c r="E287" s="11">
        <v>213.6</v>
      </c>
      <c r="F287" s="11">
        <v>200.25</v>
      </c>
      <c r="G287" s="11">
        <f t="shared" si="14"/>
        <v>13.349999999999994</v>
      </c>
      <c r="H287" s="15">
        <f t="shared" si="15"/>
        <v>6.2499999999999972E-2</v>
      </c>
      <c r="K287">
        <f>205.4-104</f>
        <v>101.4</v>
      </c>
    </row>
    <row r="288" spans="1:11">
      <c r="A288" s="13" t="s">
        <v>710</v>
      </c>
      <c r="B288" s="14" t="s">
        <v>728</v>
      </c>
      <c r="C288" s="10">
        <v>205.4</v>
      </c>
      <c r="D288" s="11">
        <v>205.4</v>
      </c>
      <c r="E288" s="11">
        <v>205.4</v>
      </c>
      <c r="F288" s="11">
        <v>192.56</v>
      </c>
      <c r="G288" s="11">
        <f t="shared" si="14"/>
        <v>12.840000000000003</v>
      </c>
      <c r="H288" s="15">
        <f t="shared" si="15"/>
        <v>6.2512171372930886E-2</v>
      </c>
    </row>
    <row r="289" spans="1:8">
      <c r="A289" s="13" t="s">
        <v>712</v>
      </c>
      <c r="B289" s="14" t="s">
        <v>729</v>
      </c>
      <c r="C289" s="10">
        <v>68.239999999999995</v>
      </c>
      <c r="D289" s="11">
        <v>68.239999999999995</v>
      </c>
      <c r="E289" s="11">
        <v>68.239999999999995</v>
      </c>
      <c r="F289" s="11">
        <v>63.98</v>
      </c>
      <c r="G289" s="11">
        <f t="shared" si="14"/>
        <v>4.259999999999998</v>
      </c>
      <c r="H289" s="15">
        <f t="shared" si="15"/>
        <v>6.2426729191090248E-2</v>
      </c>
    </row>
    <row r="290" spans="1:8">
      <c r="A290" s="13" t="s">
        <v>713</v>
      </c>
      <c r="B290" s="14" t="s">
        <v>730</v>
      </c>
      <c r="C290" s="10">
        <v>37.200000000000003</v>
      </c>
      <c r="D290" s="11">
        <v>37.200000000000003</v>
      </c>
      <c r="E290" s="11">
        <v>37.200000000000003</v>
      </c>
      <c r="F290" s="11">
        <v>25.5</v>
      </c>
      <c r="G290" s="11">
        <f t="shared" si="14"/>
        <v>11.700000000000003</v>
      </c>
      <c r="H290" s="15">
        <f t="shared" si="15"/>
        <v>0.31451612903225812</v>
      </c>
    </row>
    <row r="291" spans="1:8" ht="12.75" customHeight="1">
      <c r="A291" s="13" t="s">
        <v>714</v>
      </c>
      <c r="B291" s="14" t="s">
        <v>609</v>
      </c>
      <c r="C291" s="10">
        <v>242.8</v>
      </c>
      <c r="D291" s="11">
        <v>242.8</v>
      </c>
      <c r="E291" s="11">
        <v>242.8</v>
      </c>
      <c r="F291" s="11">
        <v>225.75</v>
      </c>
      <c r="G291" s="11">
        <f t="shared" si="14"/>
        <v>17.050000000000011</v>
      </c>
      <c r="H291" s="15">
        <f t="shared" si="15"/>
        <v>7.0222405271828714E-2</v>
      </c>
    </row>
    <row r="292" spans="1:8">
      <c r="A292" s="13" t="s">
        <v>715</v>
      </c>
      <c r="B292" s="14" t="s">
        <v>735</v>
      </c>
      <c r="C292" s="10">
        <v>940.8</v>
      </c>
      <c r="D292" s="11">
        <v>940.8</v>
      </c>
      <c r="E292" s="11">
        <v>940.8</v>
      </c>
      <c r="F292" s="11"/>
      <c r="G292" s="11">
        <f t="shared" si="14"/>
        <v>940.8</v>
      </c>
      <c r="H292" s="15">
        <f t="shared" si="15"/>
        <v>1</v>
      </c>
    </row>
    <row r="293" spans="1:8">
      <c r="A293" s="13" t="s">
        <v>716</v>
      </c>
      <c r="B293" s="14" t="s">
        <v>731</v>
      </c>
      <c r="C293" s="10">
        <v>36</v>
      </c>
      <c r="D293" s="11">
        <v>36</v>
      </c>
      <c r="E293" s="11">
        <v>36</v>
      </c>
      <c r="F293" s="11">
        <f>29.71</f>
        <v>29.71</v>
      </c>
      <c r="G293" s="11">
        <f t="shared" si="14"/>
        <v>6.2899999999999991</v>
      </c>
      <c r="H293" s="15">
        <f t="shared" si="15"/>
        <v>0.1747222222222222</v>
      </c>
    </row>
    <row r="294" spans="1:8" ht="13.5" thickBot="1">
      <c r="A294" s="13" t="s">
        <v>911</v>
      </c>
      <c r="B294" s="14" t="s">
        <v>732</v>
      </c>
      <c r="C294" s="10">
        <v>300</v>
      </c>
      <c r="D294" s="11">
        <v>300</v>
      </c>
      <c r="E294" s="11">
        <v>300</v>
      </c>
      <c r="F294" s="11">
        <v>67</v>
      </c>
      <c r="G294" s="11">
        <f t="shared" si="14"/>
        <v>233</v>
      </c>
      <c r="H294" s="15">
        <f t="shared" si="15"/>
        <v>0.77666666666666662</v>
      </c>
    </row>
    <row r="295" spans="1:8">
      <c r="A295" s="16"/>
      <c r="B295" s="17" t="s">
        <v>717</v>
      </c>
      <c r="C295" s="18">
        <f t="shared" ref="C295:H295" si="16">SUM(C274:C294)</f>
        <v>8358.7900000000009</v>
      </c>
      <c r="D295" s="18">
        <f t="shared" si="16"/>
        <v>4027.4399999999996</v>
      </c>
      <c r="E295" s="18">
        <f>SUM(E274:E294)</f>
        <v>4027.4399999999996</v>
      </c>
      <c r="F295" s="18">
        <f t="shared" si="16"/>
        <v>2386.75</v>
      </c>
      <c r="G295" s="18" t="e">
        <f t="shared" si="16"/>
        <v>#VALUE!</v>
      </c>
      <c r="H295" s="18" t="e">
        <f t="shared" si="16"/>
        <v>#VALUE!</v>
      </c>
    </row>
    <row r="296" spans="1:8">
      <c r="A296" s="19"/>
      <c r="B296" s="20" t="s">
        <v>718</v>
      </c>
      <c r="C296" s="21"/>
      <c r="D296" s="22"/>
      <c r="E296" s="22"/>
      <c r="F296" s="23"/>
      <c r="G296" s="24"/>
      <c r="H296" s="25"/>
    </row>
    <row r="297" spans="1:8" ht="13.5" thickBot="1">
      <c r="A297" s="26"/>
      <c r="B297" s="27" t="s">
        <v>719</v>
      </c>
      <c r="C297" s="28"/>
      <c r="D297" s="29"/>
      <c r="E297" s="29"/>
      <c r="F297" s="28"/>
      <c r="G297" s="30"/>
      <c r="H297" s="31"/>
    </row>
    <row r="298" spans="1:8">
      <c r="A298" s="224" t="s">
        <v>733</v>
      </c>
      <c r="B298" s="224"/>
      <c r="C298" s="224"/>
      <c r="D298" s="224"/>
      <c r="E298" s="224"/>
      <c r="F298" s="224"/>
      <c r="G298" s="224"/>
      <c r="H298" s="225"/>
    </row>
    <row r="299" spans="1:8" ht="12.75" customHeight="1" thickBot="1">
      <c r="A299" s="3"/>
      <c r="B299" s="4" t="s">
        <v>699</v>
      </c>
      <c r="C299" s="5" t="s">
        <v>700</v>
      </c>
      <c r="D299" s="6" t="s">
        <v>701</v>
      </c>
      <c r="E299" s="6" t="s">
        <v>702</v>
      </c>
      <c r="F299" s="6" t="s">
        <v>703</v>
      </c>
      <c r="G299" s="6" t="s">
        <v>704</v>
      </c>
      <c r="H299" s="7" t="s">
        <v>705</v>
      </c>
    </row>
    <row r="300" spans="1:8">
      <c r="A300" s="8">
        <v>1</v>
      </c>
      <c r="B300" s="9" t="s">
        <v>686</v>
      </c>
      <c r="C300" s="10"/>
      <c r="D300" s="11"/>
      <c r="E300" s="11"/>
      <c r="F300" s="11"/>
      <c r="G300" s="11"/>
      <c r="H300" s="12"/>
    </row>
    <row r="301" spans="1:8">
      <c r="A301" s="13" t="s">
        <v>706</v>
      </c>
      <c r="B301" s="14" t="s">
        <v>414</v>
      </c>
      <c r="C301" s="10">
        <v>50</v>
      </c>
      <c r="D301" s="11">
        <v>50</v>
      </c>
      <c r="E301" s="11">
        <v>50</v>
      </c>
      <c r="F301" s="11"/>
      <c r="G301" s="11">
        <f>E301-F301</f>
        <v>50</v>
      </c>
      <c r="H301" s="15">
        <f>G301/E301</f>
        <v>1</v>
      </c>
    </row>
    <row r="302" spans="1:8" ht="12.75" customHeight="1">
      <c r="A302" s="13" t="s">
        <v>709</v>
      </c>
      <c r="B302" s="14" t="s">
        <v>413</v>
      </c>
      <c r="C302" s="10">
        <v>9</v>
      </c>
      <c r="D302" s="11">
        <v>9</v>
      </c>
      <c r="E302" s="11">
        <v>9</v>
      </c>
      <c r="F302" s="11"/>
      <c r="G302" s="11">
        <f>E302-F302</f>
        <v>9</v>
      </c>
      <c r="H302" s="15">
        <f>G302/E302</f>
        <v>1</v>
      </c>
    </row>
    <row r="303" spans="1:8">
      <c r="A303" s="8">
        <v>2</v>
      </c>
      <c r="B303" s="9" t="s">
        <v>687</v>
      </c>
      <c r="C303" s="10"/>
      <c r="D303" s="11"/>
      <c r="E303" s="11"/>
      <c r="F303" s="11"/>
      <c r="G303" s="11"/>
      <c r="H303" s="15"/>
    </row>
    <row r="304" spans="1:8">
      <c r="A304" s="13" t="s">
        <v>706</v>
      </c>
      <c r="B304" s="14" t="s">
        <v>616</v>
      </c>
      <c r="C304" s="10">
        <v>3400</v>
      </c>
      <c r="D304" s="11">
        <v>3400</v>
      </c>
      <c r="E304" s="11">
        <v>3400</v>
      </c>
      <c r="F304" s="11"/>
      <c r="G304" s="11">
        <f>E304-F304</f>
        <v>3400</v>
      </c>
      <c r="H304" s="15">
        <f>G304/E304</f>
        <v>1</v>
      </c>
    </row>
    <row r="305" spans="1:8" ht="12.75" customHeight="1">
      <c r="A305" s="13" t="s">
        <v>709</v>
      </c>
      <c r="B305" s="14" t="s">
        <v>617</v>
      </c>
      <c r="C305" s="10">
        <v>1000</v>
      </c>
      <c r="D305" s="11">
        <v>1000</v>
      </c>
      <c r="E305" s="11">
        <v>1000</v>
      </c>
      <c r="F305" s="11"/>
      <c r="G305" s="11">
        <f>E305-F305</f>
        <v>1000</v>
      </c>
      <c r="H305" s="15">
        <f>G305/E305</f>
        <v>1</v>
      </c>
    </row>
    <row r="306" spans="1:8">
      <c r="A306" s="8">
        <v>3</v>
      </c>
      <c r="B306" s="9" t="s">
        <v>680</v>
      </c>
      <c r="C306" s="10"/>
      <c r="D306" s="11"/>
      <c r="E306" s="11"/>
      <c r="F306" s="11"/>
      <c r="G306" s="11"/>
      <c r="H306" s="15"/>
    </row>
    <row r="307" spans="1:8">
      <c r="A307" s="13" t="s">
        <v>706</v>
      </c>
      <c r="B307" s="14" t="s">
        <v>618</v>
      </c>
      <c r="C307" s="10">
        <v>2450</v>
      </c>
      <c r="D307" s="11">
        <v>2450</v>
      </c>
      <c r="E307" s="11">
        <v>2450</v>
      </c>
      <c r="F307" s="11">
        <f>550+150+300+150+350</f>
        <v>1500</v>
      </c>
      <c r="G307" s="11">
        <f>E307-F307</f>
        <v>950</v>
      </c>
      <c r="H307" s="15">
        <f>G307/E307</f>
        <v>0.38775510204081631</v>
      </c>
    </row>
    <row r="308" spans="1:8">
      <c r="A308" s="13" t="s">
        <v>709</v>
      </c>
      <c r="B308" s="14" t="s">
        <v>734</v>
      </c>
      <c r="C308" s="10">
        <v>359</v>
      </c>
      <c r="D308" s="11">
        <v>359</v>
      </c>
      <c r="E308" s="11">
        <v>359</v>
      </c>
      <c r="F308" s="11"/>
      <c r="G308" s="11">
        <f>E308-F308</f>
        <v>359</v>
      </c>
      <c r="H308" s="15">
        <f>G308/E308</f>
        <v>1</v>
      </c>
    </row>
    <row r="309" spans="1:8">
      <c r="A309" s="13" t="s">
        <v>710</v>
      </c>
      <c r="B309" s="14" t="s">
        <v>690</v>
      </c>
      <c r="C309" s="10">
        <v>150</v>
      </c>
      <c r="D309" s="11">
        <v>150</v>
      </c>
      <c r="E309" s="11">
        <v>150</v>
      </c>
      <c r="F309" s="11"/>
      <c r="G309" s="11">
        <f>E309-F309</f>
        <v>150</v>
      </c>
      <c r="H309" s="15">
        <f>G309/E309</f>
        <v>1</v>
      </c>
    </row>
    <row r="310" spans="1:8" ht="13.5" thickBot="1">
      <c r="A310" s="13" t="s">
        <v>712</v>
      </c>
      <c r="B310" s="14" t="s">
        <v>619</v>
      </c>
      <c r="C310" s="10">
        <v>5500</v>
      </c>
      <c r="D310" s="11">
        <v>5500</v>
      </c>
      <c r="E310" s="11">
        <v>5500</v>
      </c>
      <c r="F310" s="11"/>
      <c r="G310" s="11">
        <f>E310-F310</f>
        <v>5500</v>
      </c>
      <c r="H310" s="15">
        <f>G310/E310</f>
        <v>1</v>
      </c>
    </row>
    <row r="311" spans="1:8">
      <c r="A311" s="16"/>
      <c r="B311" s="17" t="s">
        <v>717</v>
      </c>
      <c r="C311" s="18">
        <f>SUM(C301:C310)</f>
        <v>12918</v>
      </c>
      <c r="D311" s="18">
        <f>SUM(D301:D310)</f>
        <v>12918</v>
      </c>
      <c r="E311" s="18">
        <f>SUM(E301:E310)</f>
        <v>12918</v>
      </c>
      <c r="F311" s="18">
        <f>SUM(F301:F309)</f>
        <v>1500</v>
      </c>
      <c r="G311" s="18">
        <f>SUM(G301:G309)</f>
        <v>5918</v>
      </c>
      <c r="H311" s="18">
        <f>SUM(H301:H309)</f>
        <v>6.3877551020408161</v>
      </c>
    </row>
    <row r="312" spans="1:8">
      <c r="A312" s="19"/>
      <c r="B312" s="20" t="s">
        <v>718</v>
      </c>
      <c r="C312" s="21"/>
      <c r="D312" s="22"/>
      <c r="E312" s="22"/>
      <c r="F312" s="23"/>
      <c r="G312" s="24"/>
      <c r="H312" s="25"/>
    </row>
    <row r="313" spans="1:8" ht="13.5" thickBot="1">
      <c r="A313" s="26"/>
      <c r="B313" s="27" t="s">
        <v>719</v>
      </c>
      <c r="C313" s="28"/>
      <c r="D313" s="29"/>
      <c r="E313" s="29"/>
      <c r="F313" s="28"/>
      <c r="G313" s="30"/>
      <c r="H313" s="31"/>
    </row>
    <row r="314" spans="1:8">
      <c r="A314" s="224" t="s">
        <v>620</v>
      </c>
      <c r="B314" s="224"/>
      <c r="C314" s="224"/>
      <c r="D314" s="224"/>
      <c r="E314" s="224"/>
      <c r="F314" s="224"/>
      <c r="G314" s="224"/>
      <c r="H314" s="225"/>
    </row>
    <row r="315" spans="1:8" ht="13.5" thickBot="1">
      <c r="A315" s="3"/>
      <c r="B315" s="4" t="s">
        <v>699</v>
      </c>
      <c r="C315" s="5" t="s">
        <v>700</v>
      </c>
      <c r="D315" s="6" t="s">
        <v>701</v>
      </c>
      <c r="E315" s="6" t="s">
        <v>702</v>
      </c>
      <c r="F315" s="6" t="s">
        <v>703</v>
      </c>
      <c r="G315" s="6" t="s">
        <v>704</v>
      </c>
      <c r="H315" s="7" t="s">
        <v>705</v>
      </c>
    </row>
    <row r="316" spans="1:8">
      <c r="A316" s="8">
        <v>1</v>
      </c>
      <c r="B316" s="9" t="s">
        <v>686</v>
      </c>
      <c r="C316" s="10"/>
      <c r="D316" s="11"/>
      <c r="E316" s="11"/>
      <c r="F316" s="11"/>
      <c r="G316" s="11"/>
      <c r="H316" s="12"/>
    </row>
    <row r="317" spans="1:8">
      <c r="A317" s="13" t="s">
        <v>706</v>
      </c>
      <c r="B317" s="14" t="s">
        <v>711</v>
      </c>
      <c r="C317" s="10">
        <v>50</v>
      </c>
      <c r="D317" s="11">
        <v>50</v>
      </c>
      <c r="E317" s="11">
        <v>50</v>
      </c>
      <c r="F317" s="11"/>
      <c r="G317" s="11">
        <f>E317-F317</f>
        <v>50</v>
      </c>
      <c r="H317" s="15">
        <f>G317/E317</f>
        <v>1</v>
      </c>
    </row>
    <row r="318" spans="1:8">
      <c r="A318" s="13" t="s">
        <v>709</v>
      </c>
      <c r="B318" s="14" t="s">
        <v>708</v>
      </c>
      <c r="C318" s="10">
        <v>10</v>
      </c>
      <c r="D318" s="11">
        <v>9</v>
      </c>
      <c r="E318" s="11">
        <v>9</v>
      </c>
      <c r="F318" s="11"/>
      <c r="G318" s="11">
        <f>E318-F318</f>
        <v>9</v>
      </c>
      <c r="H318" s="15">
        <f>G318/E318</f>
        <v>1</v>
      </c>
    </row>
    <row r="319" spans="1:8">
      <c r="A319" s="8">
        <v>2</v>
      </c>
      <c r="B319" s="9" t="s">
        <v>680</v>
      </c>
      <c r="C319" s="10"/>
      <c r="D319" s="11"/>
      <c r="E319" s="11"/>
      <c r="F319" s="11"/>
      <c r="G319" s="11"/>
      <c r="H319" s="15"/>
    </row>
    <row r="320" spans="1:8">
      <c r="A320" s="13" t="s">
        <v>706</v>
      </c>
      <c r="B320" s="14" t="s">
        <v>621</v>
      </c>
      <c r="C320" s="10">
        <v>200</v>
      </c>
      <c r="D320" s="11">
        <v>200</v>
      </c>
      <c r="E320" s="11">
        <v>200</v>
      </c>
      <c r="F320" s="11"/>
      <c r="G320" s="11">
        <f t="shared" ref="G320:G329" si="17">E320-F320</f>
        <v>200</v>
      </c>
      <c r="H320" s="15">
        <f t="shared" ref="H320:H329" si="18">G320/E320</f>
        <v>1</v>
      </c>
    </row>
    <row r="321" spans="1:9">
      <c r="A321" s="13" t="s">
        <v>709</v>
      </c>
      <c r="B321" s="14" t="s">
        <v>622</v>
      </c>
      <c r="C321" s="10">
        <v>60</v>
      </c>
      <c r="D321" s="11">
        <v>60</v>
      </c>
      <c r="E321" s="11">
        <v>60</v>
      </c>
      <c r="F321" s="11"/>
      <c r="G321" s="11">
        <f t="shared" si="17"/>
        <v>60</v>
      </c>
      <c r="H321" s="15">
        <f t="shared" si="18"/>
        <v>1</v>
      </c>
    </row>
    <row r="322" spans="1:9">
      <c r="A322" s="13" t="s">
        <v>710</v>
      </c>
      <c r="B322" s="14" t="s">
        <v>623</v>
      </c>
      <c r="C322" s="10">
        <v>130</v>
      </c>
      <c r="D322" s="11">
        <v>130</v>
      </c>
      <c r="E322" s="11">
        <v>130</v>
      </c>
      <c r="F322" s="11"/>
      <c r="G322" s="11">
        <f t="shared" si="17"/>
        <v>130</v>
      </c>
      <c r="H322" s="15">
        <f t="shared" si="18"/>
        <v>1</v>
      </c>
    </row>
    <row r="323" spans="1:9">
      <c r="A323" s="13" t="s">
        <v>712</v>
      </c>
      <c r="B323" s="14" t="s">
        <v>624</v>
      </c>
      <c r="C323" s="10">
        <v>270</v>
      </c>
      <c r="D323" s="11">
        <v>270</v>
      </c>
      <c r="E323" s="11">
        <v>270</v>
      </c>
      <c r="F323" s="11"/>
      <c r="G323" s="11">
        <f t="shared" si="17"/>
        <v>270</v>
      </c>
      <c r="H323" s="15">
        <f t="shared" si="18"/>
        <v>1</v>
      </c>
    </row>
    <row r="324" spans="1:9" ht="12.75" customHeight="1">
      <c r="A324" s="13" t="s">
        <v>713</v>
      </c>
      <c r="B324" s="14" t="s">
        <v>625</v>
      </c>
      <c r="C324" s="10">
        <v>250</v>
      </c>
      <c r="D324" s="11">
        <v>250</v>
      </c>
      <c r="E324" s="11">
        <v>250</v>
      </c>
      <c r="F324" s="11"/>
      <c r="G324" s="11">
        <f t="shared" si="17"/>
        <v>250</v>
      </c>
      <c r="H324" s="15">
        <f t="shared" si="18"/>
        <v>1</v>
      </c>
    </row>
    <row r="325" spans="1:9">
      <c r="A325" s="13" t="s">
        <v>714</v>
      </c>
      <c r="B325" s="14" t="s">
        <v>626</v>
      </c>
      <c r="C325" s="10">
        <v>4500</v>
      </c>
      <c r="D325" s="11">
        <v>4500</v>
      </c>
      <c r="E325" s="11">
        <v>4500</v>
      </c>
      <c r="F325" s="11"/>
      <c r="G325" s="11">
        <f t="shared" si="17"/>
        <v>4500</v>
      </c>
      <c r="H325" s="15">
        <f t="shared" si="18"/>
        <v>1</v>
      </c>
    </row>
    <row r="326" spans="1:9">
      <c r="A326" s="13" t="s">
        <v>715</v>
      </c>
      <c r="B326" s="14" t="s">
        <v>627</v>
      </c>
      <c r="C326" s="10">
        <v>500</v>
      </c>
      <c r="D326" s="11">
        <v>500</v>
      </c>
      <c r="E326" s="11">
        <v>500</v>
      </c>
      <c r="F326" s="11"/>
      <c r="G326" s="11">
        <f t="shared" si="17"/>
        <v>500</v>
      </c>
      <c r="H326" s="15">
        <f t="shared" si="18"/>
        <v>1</v>
      </c>
    </row>
    <row r="327" spans="1:9">
      <c r="A327" s="13" t="s">
        <v>716</v>
      </c>
      <c r="B327" s="14" t="s">
        <v>628</v>
      </c>
      <c r="C327" s="10">
        <v>700</v>
      </c>
      <c r="D327" s="11">
        <v>700</v>
      </c>
      <c r="E327" s="11">
        <v>700</v>
      </c>
      <c r="F327" s="11"/>
      <c r="G327" s="11">
        <f t="shared" si="17"/>
        <v>700</v>
      </c>
      <c r="H327" s="15">
        <f t="shared" si="18"/>
        <v>1</v>
      </c>
    </row>
    <row r="328" spans="1:9">
      <c r="A328" s="13" t="s">
        <v>911</v>
      </c>
      <c r="B328" s="14" t="s">
        <v>629</v>
      </c>
      <c r="C328" s="10">
        <v>400</v>
      </c>
      <c r="D328" s="11">
        <v>0</v>
      </c>
      <c r="E328" s="11">
        <v>0</v>
      </c>
      <c r="F328" s="11"/>
      <c r="G328" s="11">
        <f t="shared" si="17"/>
        <v>0</v>
      </c>
      <c r="H328" s="15" t="e">
        <f t="shared" si="18"/>
        <v>#DIV/0!</v>
      </c>
      <c r="I328" s="113"/>
    </row>
    <row r="329" spans="1:9" ht="14.1" customHeight="1" thickBot="1">
      <c r="A329" s="13" t="s">
        <v>911</v>
      </c>
      <c r="B329" s="14" t="s">
        <v>630</v>
      </c>
      <c r="C329" s="10">
        <v>500</v>
      </c>
      <c r="D329" s="11">
        <v>0</v>
      </c>
      <c r="E329" s="11">
        <v>0</v>
      </c>
      <c r="F329" s="11"/>
      <c r="G329" s="11">
        <f t="shared" si="17"/>
        <v>0</v>
      </c>
      <c r="H329" s="15" t="e">
        <f t="shared" si="18"/>
        <v>#DIV/0!</v>
      </c>
    </row>
    <row r="330" spans="1:9">
      <c r="A330" s="16"/>
      <c r="B330" s="17" t="s">
        <v>717</v>
      </c>
      <c r="C330" s="18">
        <f>SUM(C317:C329)</f>
        <v>7570</v>
      </c>
      <c r="D330" s="18">
        <f>SUM(D317:D329)</f>
        <v>6669</v>
      </c>
      <c r="E330" s="18">
        <f>SUM(E317:E329)</f>
        <v>6669</v>
      </c>
      <c r="F330" s="18">
        <f>SUM(F317:F319)</f>
        <v>0</v>
      </c>
      <c r="G330" s="18">
        <f>SUM(G317:G319)</f>
        <v>59</v>
      </c>
      <c r="H330" s="18">
        <f>SUM(H317:H319)</f>
        <v>2</v>
      </c>
    </row>
    <row r="331" spans="1:9">
      <c r="A331" s="19"/>
      <c r="B331" s="20" t="s">
        <v>718</v>
      </c>
      <c r="C331" s="21"/>
      <c r="D331" s="22"/>
      <c r="E331" s="22"/>
      <c r="F331" s="23"/>
      <c r="G331" s="24"/>
      <c r="H331" s="25"/>
    </row>
    <row r="332" spans="1:9" ht="13.5" thickBot="1">
      <c r="A332" s="26"/>
      <c r="B332" s="27" t="s">
        <v>719</v>
      </c>
      <c r="C332" s="28"/>
      <c r="D332" s="29"/>
      <c r="E332" s="29"/>
      <c r="F332" s="28"/>
      <c r="G332" s="30"/>
      <c r="H332" s="31"/>
    </row>
    <row r="333" spans="1:9">
      <c r="A333" s="224" t="s">
        <v>631</v>
      </c>
      <c r="B333" s="224"/>
      <c r="C333" s="224"/>
      <c r="D333" s="224"/>
      <c r="E333" s="224"/>
      <c r="F333" s="224"/>
      <c r="G333" s="224"/>
      <c r="H333" s="225"/>
    </row>
    <row r="334" spans="1:9" ht="13.5" thickBot="1">
      <c r="A334" s="3"/>
      <c r="B334" s="4" t="s">
        <v>699</v>
      </c>
      <c r="C334" s="5" t="s">
        <v>700</v>
      </c>
      <c r="D334" s="6" t="s">
        <v>701</v>
      </c>
      <c r="E334" s="6" t="s">
        <v>702</v>
      </c>
      <c r="F334" s="6" t="s">
        <v>703</v>
      </c>
      <c r="G334" s="6" t="s">
        <v>704</v>
      </c>
      <c r="H334" s="7" t="s">
        <v>705</v>
      </c>
    </row>
    <row r="335" spans="1:9">
      <c r="A335" s="8">
        <v>1</v>
      </c>
      <c r="B335" s="9" t="s">
        <v>632</v>
      </c>
      <c r="C335" s="10"/>
      <c r="D335" s="11"/>
      <c r="E335" s="11"/>
      <c r="F335" s="11"/>
      <c r="G335" s="11"/>
      <c r="H335" s="12"/>
    </row>
    <row r="336" spans="1:9">
      <c r="A336" s="13" t="s">
        <v>706</v>
      </c>
      <c r="B336" s="14" t="s">
        <v>633</v>
      </c>
      <c r="C336" s="10">
        <v>1850</v>
      </c>
      <c r="D336" s="11">
        <v>1850</v>
      </c>
      <c r="E336" s="11">
        <v>1850</v>
      </c>
      <c r="F336" s="11">
        <f>1850</f>
        <v>1850</v>
      </c>
      <c r="G336" s="11">
        <f>E336-F336</f>
        <v>0</v>
      </c>
      <c r="H336" s="15">
        <f>G336/E336</f>
        <v>0</v>
      </c>
    </row>
    <row r="337" spans="1:8">
      <c r="A337" s="8">
        <v>2</v>
      </c>
      <c r="B337" s="9" t="s">
        <v>690</v>
      </c>
      <c r="C337" s="10"/>
      <c r="D337" s="11"/>
      <c r="E337" s="11"/>
      <c r="F337" s="11"/>
      <c r="G337" s="11"/>
      <c r="H337" s="15"/>
    </row>
    <row r="338" spans="1:8">
      <c r="A338" s="13" t="s">
        <v>706</v>
      </c>
      <c r="B338" s="14" t="s">
        <v>634</v>
      </c>
      <c r="C338" s="10">
        <v>825</v>
      </c>
      <c r="D338" s="11">
        <v>825</v>
      </c>
      <c r="E338" s="11">
        <v>825</v>
      </c>
      <c r="F338" s="11"/>
      <c r="G338" s="11">
        <f>E338-F338</f>
        <v>825</v>
      </c>
      <c r="H338" s="15">
        <f>G338/E338</f>
        <v>1</v>
      </c>
    </row>
    <row r="339" spans="1:8">
      <c r="A339" s="13" t="s">
        <v>709</v>
      </c>
      <c r="B339" s="14" t="s">
        <v>635</v>
      </c>
      <c r="C339" s="10">
        <v>950</v>
      </c>
      <c r="D339" s="11">
        <v>0</v>
      </c>
      <c r="E339" s="11">
        <v>0</v>
      </c>
      <c r="F339" s="11"/>
      <c r="G339" s="11">
        <f>E339-F339</f>
        <v>0</v>
      </c>
      <c r="H339" s="15" t="e">
        <f>G339/E339</f>
        <v>#DIV/0!</v>
      </c>
    </row>
    <row r="340" spans="1:8" ht="26.25" thickBot="1">
      <c r="A340" s="13" t="s">
        <v>710</v>
      </c>
      <c r="B340" s="14" t="s">
        <v>636</v>
      </c>
      <c r="C340" s="10">
        <v>60</v>
      </c>
      <c r="D340" s="11">
        <v>60</v>
      </c>
      <c r="E340" s="11">
        <v>60</v>
      </c>
      <c r="F340" s="11"/>
      <c r="G340" s="11">
        <f>E340-F340</f>
        <v>60</v>
      </c>
      <c r="H340" s="15">
        <f>G340/E340</f>
        <v>1</v>
      </c>
    </row>
    <row r="341" spans="1:8">
      <c r="A341" s="16"/>
      <c r="B341" s="17" t="s">
        <v>717</v>
      </c>
      <c r="C341" s="18">
        <f t="shared" ref="C341:H341" si="19">SUM(C336:C340)</f>
        <v>3685</v>
      </c>
      <c r="D341" s="18">
        <f>SUM(D336:D340)</f>
        <v>2735</v>
      </c>
      <c r="E341" s="18">
        <f>SUM(E336:E340)</f>
        <v>2735</v>
      </c>
      <c r="F341" s="18">
        <f t="shared" si="19"/>
        <v>1850</v>
      </c>
      <c r="G341" s="18">
        <f t="shared" si="19"/>
        <v>885</v>
      </c>
      <c r="H341" s="18" t="e">
        <f t="shared" si="19"/>
        <v>#DIV/0!</v>
      </c>
    </row>
    <row r="342" spans="1:8">
      <c r="A342" s="19"/>
      <c r="B342" s="20" t="s">
        <v>718</v>
      </c>
      <c r="C342" s="21"/>
      <c r="D342" s="22"/>
      <c r="E342" s="22"/>
      <c r="F342" s="23"/>
      <c r="G342" s="24"/>
      <c r="H342" s="25"/>
    </row>
    <row r="343" spans="1:8" ht="13.5" thickBot="1">
      <c r="A343" s="26"/>
      <c r="B343" s="27" t="s">
        <v>719</v>
      </c>
      <c r="C343" s="28"/>
      <c r="D343" s="29"/>
      <c r="E343" s="29"/>
      <c r="F343" s="28"/>
      <c r="G343" s="30"/>
      <c r="H343" s="31"/>
    </row>
    <row r="344" spans="1:8" ht="12.75" customHeight="1">
      <c r="A344" s="224" t="s">
        <v>677</v>
      </c>
      <c r="B344" s="224"/>
      <c r="C344" s="224"/>
      <c r="D344" s="224"/>
      <c r="E344" s="224"/>
      <c r="F344" s="224"/>
      <c r="G344" s="224"/>
      <c r="H344" s="225"/>
    </row>
    <row r="345" spans="1:8" ht="13.5" thickBot="1">
      <c r="A345" s="3"/>
      <c r="B345" s="4" t="s">
        <v>699</v>
      </c>
      <c r="C345" s="5" t="s">
        <v>700</v>
      </c>
      <c r="D345" s="6" t="s">
        <v>701</v>
      </c>
      <c r="E345" s="6" t="s">
        <v>702</v>
      </c>
      <c r="F345" s="6" t="s">
        <v>703</v>
      </c>
      <c r="G345" s="6" t="s">
        <v>704</v>
      </c>
      <c r="H345" s="7" t="s">
        <v>705</v>
      </c>
    </row>
    <row r="346" spans="1:8">
      <c r="A346" s="8">
        <v>1</v>
      </c>
      <c r="B346" s="9" t="s">
        <v>680</v>
      </c>
      <c r="C346" s="10"/>
      <c r="D346" s="11"/>
      <c r="E346" s="11"/>
      <c r="F346" s="11"/>
      <c r="G346" s="11"/>
      <c r="H346" s="15"/>
    </row>
    <row r="347" spans="1:8">
      <c r="A347" s="13" t="s">
        <v>706</v>
      </c>
      <c r="B347" s="14" t="s">
        <v>637</v>
      </c>
      <c r="C347" s="10">
        <v>1500</v>
      </c>
      <c r="D347" s="11">
        <v>1500</v>
      </c>
      <c r="E347" s="11">
        <v>1500</v>
      </c>
      <c r="F347" s="11">
        <f>300+300+100+300</f>
        <v>1000</v>
      </c>
      <c r="G347" s="11">
        <f>E347-F347</f>
        <v>500</v>
      </c>
      <c r="H347" s="15">
        <f>G347/E347</f>
        <v>0.33333333333333331</v>
      </c>
    </row>
    <row r="348" spans="1:8">
      <c r="A348" s="13" t="s">
        <v>709</v>
      </c>
      <c r="B348" s="14" t="s">
        <v>851</v>
      </c>
      <c r="C348" s="10">
        <v>450</v>
      </c>
      <c r="D348" s="11">
        <v>450</v>
      </c>
      <c r="E348" s="11">
        <v>450</v>
      </c>
      <c r="F348" s="11">
        <f>256</f>
        <v>256</v>
      </c>
      <c r="G348" s="11">
        <f>E348-F348</f>
        <v>194</v>
      </c>
      <c r="H348" s="15">
        <f>G348/E348</f>
        <v>0.43111111111111111</v>
      </c>
    </row>
    <row r="349" spans="1:8" ht="25.5">
      <c r="A349" s="13" t="s">
        <v>710</v>
      </c>
      <c r="B349" s="14" t="s">
        <v>230</v>
      </c>
      <c r="C349" s="10">
        <v>1800</v>
      </c>
      <c r="D349" s="11">
        <v>1800</v>
      </c>
      <c r="E349" s="11">
        <v>1800</v>
      </c>
      <c r="F349" s="11"/>
      <c r="G349" s="11">
        <f>E349-F349</f>
        <v>1800</v>
      </c>
      <c r="H349" s="15">
        <f>G349/E349</f>
        <v>1</v>
      </c>
    </row>
    <row r="350" spans="1:8">
      <c r="A350" s="13" t="s">
        <v>712</v>
      </c>
      <c r="B350" s="14" t="s">
        <v>690</v>
      </c>
      <c r="C350" s="10">
        <v>30</v>
      </c>
      <c r="D350" s="11">
        <v>30</v>
      </c>
      <c r="E350" s="11">
        <v>30</v>
      </c>
      <c r="F350" s="11"/>
      <c r="G350" s="11">
        <f>E350-F350</f>
        <v>30</v>
      </c>
      <c r="H350" s="15">
        <f>G350/E350</f>
        <v>1</v>
      </c>
    </row>
    <row r="351" spans="1:8" ht="13.5" thickBot="1">
      <c r="A351" s="13" t="s">
        <v>713</v>
      </c>
      <c r="B351" s="14" t="s">
        <v>708</v>
      </c>
      <c r="C351" s="10">
        <v>9</v>
      </c>
      <c r="D351" s="11">
        <v>9</v>
      </c>
      <c r="E351" s="11">
        <v>9</v>
      </c>
      <c r="F351" s="11"/>
      <c r="G351" s="11">
        <f>E351-F351</f>
        <v>9</v>
      </c>
      <c r="H351" s="15">
        <f>G351/E351</f>
        <v>1</v>
      </c>
    </row>
    <row r="352" spans="1:8">
      <c r="A352" s="16"/>
      <c r="B352" s="17" t="s">
        <v>717</v>
      </c>
      <c r="C352" s="18">
        <f t="shared" ref="C352:H352" si="20">SUM(C346:C351)</f>
        <v>3789</v>
      </c>
      <c r="D352" s="18">
        <f t="shared" si="20"/>
        <v>3789</v>
      </c>
      <c r="E352" s="18">
        <f>SUM(E346:E351)</f>
        <v>3789</v>
      </c>
      <c r="F352" s="18">
        <f t="shared" si="20"/>
        <v>1256</v>
      </c>
      <c r="G352" s="18">
        <f t="shared" si="20"/>
        <v>2533</v>
      </c>
      <c r="H352" s="18">
        <f t="shared" si="20"/>
        <v>3.7644444444444445</v>
      </c>
    </row>
    <row r="353" spans="1:8">
      <c r="A353" s="19"/>
      <c r="B353" s="20" t="s">
        <v>718</v>
      </c>
      <c r="C353" s="21"/>
      <c r="D353" s="22"/>
      <c r="E353" s="22"/>
      <c r="F353" s="23"/>
      <c r="G353" s="24"/>
      <c r="H353" s="25"/>
    </row>
    <row r="354" spans="1:8" ht="13.5" thickBot="1">
      <c r="A354" s="26"/>
      <c r="B354" s="27" t="s">
        <v>719</v>
      </c>
      <c r="C354" s="28"/>
      <c r="D354" s="29"/>
      <c r="E354" s="29"/>
      <c r="F354" s="28"/>
      <c r="G354" s="30"/>
      <c r="H354" s="31"/>
    </row>
    <row r="355" spans="1:8" ht="12.75" customHeight="1">
      <c r="A355" s="93"/>
      <c r="B355" s="95" t="s">
        <v>335</v>
      </c>
      <c r="C355" s="94">
        <f t="shared" ref="C355:H355" si="21">SUM(C172,C183,C196,C213,C221,C236,C254,C268,C295,C311,C330,C341,C352)</f>
        <v>95659.459999999992</v>
      </c>
      <c r="D355" s="94">
        <f t="shared" si="21"/>
        <v>86476.11</v>
      </c>
      <c r="E355" s="94">
        <f>SUM(E172,E183,E196,E213,E221,E236,E254,E268,E295,E311,E330,E341,E352)</f>
        <v>86476.11</v>
      </c>
      <c r="F355" s="94">
        <f t="shared" si="21"/>
        <v>31294.799999999999</v>
      </c>
      <c r="G355" s="94" t="e">
        <f t="shared" si="21"/>
        <v>#VALUE!</v>
      </c>
      <c r="H355" s="94" t="e">
        <f t="shared" si="21"/>
        <v>#VALUE!</v>
      </c>
    </row>
    <row r="356" spans="1:8" ht="13.5" thickBot="1">
      <c r="A356" s="226" t="s">
        <v>693</v>
      </c>
      <c r="B356" s="226"/>
      <c r="C356" s="226"/>
      <c r="D356" s="226"/>
      <c r="E356" s="226"/>
      <c r="F356" s="226"/>
      <c r="G356" s="226"/>
      <c r="H356" s="226"/>
    </row>
    <row r="357" spans="1:8">
      <c r="A357" s="224" t="s">
        <v>694</v>
      </c>
      <c r="B357" s="224"/>
      <c r="C357" s="224"/>
      <c r="D357" s="224"/>
      <c r="E357" s="224"/>
      <c r="F357" s="224"/>
      <c r="G357" s="224"/>
      <c r="H357" s="225"/>
    </row>
    <row r="358" spans="1:8" ht="13.5" thickBot="1">
      <c r="A358" s="3"/>
      <c r="B358" s="4" t="s">
        <v>699</v>
      </c>
      <c r="C358" s="5" t="s">
        <v>700</v>
      </c>
      <c r="D358" s="6" t="s">
        <v>701</v>
      </c>
      <c r="E358" s="6" t="s">
        <v>702</v>
      </c>
      <c r="F358" s="6" t="s">
        <v>703</v>
      </c>
      <c r="G358" s="6" t="s">
        <v>704</v>
      </c>
      <c r="H358" s="7" t="s">
        <v>705</v>
      </c>
    </row>
    <row r="359" spans="1:8">
      <c r="A359" s="8">
        <v>1</v>
      </c>
      <c r="B359" s="9" t="s">
        <v>697</v>
      </c>
      <c r="C359" s="10"/>
      <c r="D359" s="11"/>
      <c r="E359" s="11"/>
      <c r="F359" s="11"/>
      <c r="G359" s="11"/>
      <c r="H359" s="12"/>
    </row>
    <row r="360" spans="1:8">
      <c r="A360" s="13" t="s">
        <v>706</v>
      </c>
      <c r="B360" s="14" t="s">
        <v>711</v>
      </c>
      <c r="C360" s="10">
        <v>50</v>
      </c>
      <c r="D360" s="11">
        <v>50</v>
      </c>
      <c r="E360" s="11">
        <v>50</v>
      </c>
      <c r="F360" s="11">
        <f>39.5</f>
        <v>39.5</v>
      </c>
      <c r="G360" s="11">
        <f>E360-F360</f>
        <v>10.5</v>
      </c>
      <c r="H360" s="15">
        <f>G360/E360</f>
        <v>0.21</v>
      </c>
    </row>
    <row r="361" spans="1:8">
      <c r="A361" s="13" t="s">
        <v>709</v>
      </c>
      <c r="B361" s="14" t="s">
        <v>708</v>
      </c>
      <c r="C361" s="10">
        <v>9</v>
      </c>
      <c r="D361" s="11">
        <v>9</v>
      </c>
      <c r="E361" s="11">
        <v>9</v>
      </c>
      <c r="F361" s="11"/>
      <c r="G361" s="11">
        <f>E361-F361</f>
        <v>9</v>
      </c>
      <c r="H361" s="15">
        <f>G361/E361</f>
        <v>1</v>
      </c>
    </row>
    <row r="362" spans="1:8">
      <c r="A362" s="8">
        <v>2</v>
      </c>
      <c r="B362" s="9" t="s">
        <v>707</v>
      </c>
      <c r="C362" s="10"/>
      <c r="D362" s="11"/>
      <c r="E362" s="11"/>
      <c r="F362" s="11"/>
      <c r="G362" s="11"/>
      <c r="H362" s="15"/>
    </row>
    <row r="363" spans="1:8" ht="26.25" thickBot="1">
      <c r="A363" s="13" t="s">
        <v>706</v>
      </c>
      <c r="B363" s="14" t="s">
        <v>610</v>
      </c>
      <c r="C363" s="10">
        <v>2400</v>
      </c>
      <c r="D363" s="11">
        <v>2400</v>
      </c>
      <c r="E363" s="11">
        <v>2400</v>
      </c>
      <c r="F363" s="11"/>
      <c r="G363" s="11">
        <f>E363-F363</f>
        <v>2400</v>
      </c>
      <c r="H363" s="15">
        <f>G363/E363</f>
        <v>1</v>
      </c>
    </row>
    <row r="364" spans="1:8">
      <c r="A364" s="16"/>
      <c r="B364" s="17" t="s">
        <v>717</v>
      </c>
      <c r="C364" s="18">
        <f>SUM(C360:C363)</f>
        <v>2459</v>
      </c>
      <c r="D364" s="18">
        <f>SUM(D360:D363)</f>
        <v>2459</v>
      </c>
      <c r="E364" s="18">
        <f>SUM(E360:E363)</f>
        <v>2459</v>
      </c>
      <c r="F364" s="18">
        <f>SUM(F360:F363)</f>
        <v>39.5</v>
      </c>
      <c r="G364" s="18">
        <f>SUM(G360:G363)</f>
        <v>2419.5</v>
      </c>
      <c r="H364" s="36">
        <f>G364/E364</f>
        <v>0.98393655957706383</v>
      </c>
    </row>
    <row r="365" spans="1:8">
      <c r="A365" s="19"/>
      <c r="B365" s="20" t="s">
        <v>718</v>
      </c>
      <c r="C365" s="21"/>
      <c r="D365" s="22"/>
      <c r="E365" s="22"/>
      <c r="F365" s="23"/>
      <c r="G365" s="24"/>
      <c r="H365" s="25"/>
    </row>
    <row r="366" spans="1:8" ht="13.5" thickBot="1">
      <c r="A366" s="26"/>
      <c r="B366" s="27" t="s">
        <v>719</v>
      </c>
      <c r="C366" s="28"/>
      <c r="D366" s="29"/>
      <c r="E366" s="29"/>
      <c r="F366" s="28"/>
      <c r="G366" s="30"/>
      <c r="H366" s="31"/>
    </row>
    <row r="367" spans="1:8">
      <c r="A367" s="224" t="s">
        <v>695</v>
      </c>
      <c r="B367" s="224"/>
      <c r="C367" s="224"/>
      <c r="D367" s="224"/>
      <c r="E367" s="224"/>
      <c r="F367" s="224"/>
      <c r="G367" s="224"/>
      <c r="H367" s="225"/>
    </row>
    <row r="368" spans="1:8" ht="13.5" thickBot="1">
      <c r="A368" s="3"/>
      <c r="B368" s="4" t="s">
        <v>699</v>
      </c>
      <c r="C368" s="5" t="s">
        <v>700</v>
      </c>
      <c r="D368" s="6" t="s">
        <v>701</v>
      </c>
      <c r="E368" s="6" t="s">
        <v>702</v>
      </c>
      <c r="F368" s="6" t="s">
        <v>703</v>
      </c>
      <c r="G368" s="6" t="s">
        <v>704</v>
      </c>
      <c r="H368" s="7" t="s">
        <v>705</v>
      </c>
    </row>
    <row r="369" spans="1:8">
      <c r="A369" s="8">
        <v>1</v>
      </c>
      <c r="B369" s="9" t="s">
        <v>711</v>
      </c>
      <c r="C369" s="10"/>
      <c r="D369" s="11"/>
      <c r="E369" s="11"/>
      <c r="F369" s="11"/>
      <c r="G369" s="11"/>
      <c r="H369" s="12"/>
    </row>
    <row r="370" spans="1:8">
      <c r="A370" s="13" t="s">
        <v>706</v>
      </c>
      <c r="B370" s="14" t="s">
        <v>611</v>
      </c>
      <c r="C370" s="10">
        <v>20</v>
      </c>
      <c r="D370" s="11">
        <v>20</v>
      </c>
      <c r="E370" s="11">
        <v>20</v>
      </c>
      <c r="F370" s="11"/>
      <c r="G370" s="11">
        <f>E370-F370</f>
        <v>20</v>
      </c>
      <c r="H370" s="15">
        <f>G370/E370</f>
        <v>1</v>
      </c>
    </row>
    <row r="371" spans="1:8">
      <c r="A371" s="13" t="s">
        <v>709</v>
      </c>
      <c r="B371" s="14" t="s">
        <v>612</v>
      </c>
      <c r="C371" s="10">
        <v>20</v>
      </c>
      <c r="D371" s="11">
        <v>0</v>
      </c>
      <c r="E371" s="11">
        <v>0</v>
      </c>
      <c r="F371" s="11"/>
      <c r="G371" s="11">
        <f>E371-F371</f>
        <v>0</v>
      </c>
      <c r="H371" s="15" t="e">
        <f>G371/E371</f>
        <v>#DIV/0!</v>
      </c>
    </row>
    <row r="372" spans="1:8">
      <c r="A372" s="8">
        <v>2</v>
      </c>
      <c r="B372" s="9" t="s">
        <v>698</v>
      </c>
      <c r="C372" s="10"/>
      <c r="D372" s="11"/>
      <c r="E372" s="11"/>
      <c r="F372" s="11"/>
      <c r="G372" s="11"/>
      <c r="H372" s="15"/>
    </row>
    <row r="373" spans="1:8">
      <c r="A373" s="13" t="s">
        <v>706</v>
      </c>
      <c r="B373" s="14" t="s">
        <v>613</v>
      </c>
      <c r="C373" s="10">
        <v>18</v>
      </c>
      <c r="D373" s="11">
        <v>18</v>
      </c>
      <c r="E373" s="11">
        <v>18</v>
      </c>
      <c r="F373" s="11"/>
      <c r="G373" s="11">
        <f>E373-F373</f>
        <v>18</v>
      </c>
      <c r="H373" s="15">
        <f>G373/E373</f>
        <v>1</v>
      </c>
    </row>
    <row r="374" spans="1:8" ht="12.75" customHeight="1">
      <c r="A374" s="8">
        <v>3</v>
      </c>
      <c r="B374" s="9" t="s">
        <v>707</v>
      </c>
      <c r="C374" s="10"/>
      <c r="D374" s="11"/>
      <c r="E374" s="11"/>
      <c r="F374" s="11"/>
      <c r="G374" s="11"/>
      <c r="H374" s="15"/>
    </row>
    <row r="375" spans="1:8" ht="13.5" thickBot="1">
      <c r="A375" s="13" t="s">
        <v>706</v>
      </c>
      <c r="B375" s="14" t="s">
        <v>614</v>
      </c>
      <c r="C375" s="10">
        <v>1700</v>
      </c>
      <c r="D375" s="11">
        <v>1700</v>
      </c>
      <c r="E375" s="11">
        <v>1700</v>
      </c>
      <c r="F375" s="11"/>
      <c r="G375" s="11">
        <f>E375-F375</f>
        <v>1700</v>
      </c>
      <c r="H375" s="15">
        <f>G375/E375</f>
        <v>1</v>
      </c>
    </row>
    <row r="376" spans="1:8">
      <c r="A376" s="16"/>
      <c r="B376" s="17" t="s">
        <v>717</v>
      </c>
      <c r="C376" s="18">
        <f>SUM(C370:C375)</f>
        <v>1758</v>
      </c>
      <c r="D376" s="18">
        <f>SUM(D370:D375)</f>
        <v>1738</v>
      </c>
      <c r="E376" s="18">
        <f>SUM(E370:E375)</f>
        <v>1738</v>
      </c>
      <c r="F376" s="18">
        <f>SUM(F370:F375)</f>
        <v>0</v>
      </c>
      <c r="G376" s="18">
        <f>SUM(G370:G375)</f>
        <v>1738</v>
      </c>
      <c r="H376" s="36">
        <f>G376/E376</f>
        <v>1</v>
      </c>
    </row>
    <row r="377" spans="1:8">
      <c r="A377" s="19"/>
      <c r="B377" s="20" t="s">
        <v>718</v>
      </c>
      <c r="C377" s="21"/>
      <c r="D377" s="22"/>
      <c r="E377" s="22"/>
      <c r="F377" s="23"/>
      <c r="G377" s="24"/>
      <c r="H377" s="25"/>
    </row>
    <row r="378" spans="1:8" ht="13.5" thickBot="1">
      <c r="A378" s="26"/>
      <c r="B378" s="27" t="s">
        <v>719</v>
      </c>
      <c r="C378" s="28"/>
      <c r="D378" s="29"/>
      <c r="E378" s="29"/>
      <c r="F378" s="28"/>
      <c r="G378" s="30"/>
      <c r="H378" s="31"/>
    </row>
    <row r="379" spans="1:8">
      <c r="A379" s="224" t="s">
        <v>638</v>
      </c>
      <c r="B379" s="224"/>
      <c r="C379" s="224"/>
      <c r="D379" s="224"/>
      <c r="E379" s="224"/>
      <c r="F379" s="224"/>
      <c r="G379" s="224"/>
      <c r="H379" s="225"/>
    </row>
    <row r="380" spans="1:8" ht="13.5" thickBot="1">
      <c r="A380" s="3"/>
      <c r="B380" s="4" t="s">
        <v>699</v>
      </c>
      <c r="C380" s="5" t="s">
        <v>700</v>
      </c>
      <c r="D380" s="6" t="s">
        <v>701</v>
      </c>
      <c r="E380" s="6" t="s">
        <v>702</v>
      </c>
      <c r="F380" s="6" t="s">
        <v>703</v>
      </c>
      <c r="G380" s="6" t="s">
        <v>704</v>
      </c>
      <c r="H380" s="7" t="s">
        <v>705</v>
      </c>
    </row>
    <row r="381" spans="1:8">
      <c r="A381" s="8">
        <v>1</v>
      </c>
      <c r="B381" s="9" t="s">
        <v>639</v>
      </c>
      <c r="C381" s="10"/>
      <c r="D381" s="11"/>
      <c r="E381" s="11"/>
      <c r="F381" s="11"/>
      <c r="G381" s="11"/>
      <c r="H381" s="12"/>
    </row>
    <row r="382" spans="1:8">
      <c r="A382" s="13" t="s">
        <v>706</v>
      </c>
      <c r="B382" s="14" t="s">
        <v>817</v>
      </c>
      <c r="C382" s="10">
        <v>1320</v>
      </c>
      <c r="D382" s="11">
        <v>1320</v>
      </c>
      <c r="E382" s="11">
        <v>1320</v>
      </c>
      <c r="F382" s="11"/>
      <c r="G382" s="11">
        <f>E382-F382</f>
        <v>1320</v>
      </c>
      <c r="H382" s="15">
        <f>G382/E382</f>
        <v>1</v>
      </c>
    </row>
    <row r="383" spans="1:8">
      <c r="A383" s="13" t="s">
        <v>709</v>
      </c>
      <c r="B383" s="14" t="s">
        <v>818</v>
      </c>
      <c r="C383" s="10">
        <v>1320</v>
      </c>
      <c r="D383" s="11">
        <v>1320</v>
      </c>
      <c r="E383" s="11">
        <v>1320</v>
      </c>
      <c r="F383" s="11">
        <v>1222</v>
      </c>
      <c r="G383" s="11">
        <f>E383-F383</f>
        <v>98</v>
      </c>
      <c r="H383" s="15">
        <f>G383/E383</f>
        <v>7.4242424242424249E-2</v>
      </c>
    </row>
    <row r="384" spans="1:8">
      <c r="A384" s="13" t="s">
        <v>710</v>
      </c>
      <c r="B384" s="14" t="s">
        <v>819</v>
      </c>
      <c r="C384" s="10">
        <v>1320</v>
      </c>
      <c r="D384" s="11">
        <v>1320</v>
      </c>
      <c r="E384" s="11">
        <v>1320</v>
      </c>
      <c r="F384" s="11">
        <f>1133.01</f>
        <v>1133.01</v>
      </c>
      <c r="G384" s="11">
        <f>E384-F384</f>
        <v>186.99</v>
      </c>
      <c r="H384" s="15">
        <f>G384/E384</f>
        <v>0.14165909090909093</v>
      </c>
    </row>
    <row r="385" spans="1:8">
      <c r="A385" s="13" t="s">
        <v>712</v>
      </c>
      <c r="B385" s="14" t="s">
        <v>820</v>
      </c>
      <c r="C385" s="10">
        <v>1320</v>
      </c>
      <c r="D385" s="11">
        <v>1320</v>
      </c>
      <c r="E385" s="11">
        <v>1320</v>
      </c>
      <c r="F385" s="11"/>
      <c r="G385" s="11">
        <f>E385-F385</f>
        <v>1320</v>
      </c>
      <c r="H385" s="15">
        <f>G385/E385</f>
        <v>1</v>
      </c>
    </row>
    <row r="386" spans="1:8">
      <c r="A386" s="13" t="s">
        <v>713</v>
      </c>
      <c r="B386" s="14" t="s">
        <v>821</v>
      </c>
      <c r="C386" s="10">
        <v>1320</v>
      </c>
      <c r="D386" s="11">
        <v>1320</v>
      </c>
      <c r="E386" s="11">
        <v>1320</v>
      </c>
      <c r="F386" s="11"/>
      <c r="G386" s="11">
        <f>E386-F386</f>
        <v>1320</v>
      </c>
      <c r="H386" s="15">
        <f>G386/E386</f>
        <v>1</v>
      </c>
    </row>
    <row r="387" spans="1:8">
      <c r="A387" s="8">
        <v>2</v>
      </c>
      <c r="B387" s="9" t="s">
        <v>698</v>
      </c>
      <c r="C387" s="10"/>
      <c r="D387" s="11"/>
      <c r="E387" s="11"/>
      <c r="F387" s="11"/>
      <c r="G387" s="11"/>
      <c r="H387" s="15"/>
    </row>
    <row r="388" spans="1:8">
      <c r="A388" s="13" t="s">
        <v>706</v>
      </c>
      <c r="B388" s="14" t="s">
        <v>817</v>
      </c>
      <c r="C388" s="10">
        <v>10</v>
      </c>
      <c r="D388" s="11">
        <v>9</v>
      </c>
      <c r="E388" s="11">
        <v>9</v>
      </c>
      <c r="F388" s="11"/>
      <c r="G388" s="11">
        <f>E388-F388</f>
        <v>9</v>
      </c>
      <c r="H388" s="15">
        <f>G388/E388</f>
        <v>1</v>
      </c>
    </row>
    <row r="389" spans="1:8">
      <c r="A389" s="13" t="s">
        <v>709</v>
      </c>
      <c r="B389" s="14" t="s">
        <v>818</v>
      </c>
      <c r="C389" s="10">
        <v>10</v>
      </c>
      <c r="D389" s="11">
        <v>9</v>
      </c>
      <c r="E389" s="11">
        <v>9</v>
      </c>
      <c r="F389" s="11"/>
      <c r="G389" s="11">
        <f>E389-F389</f>
        <v>9</v>
      </c>
      <c r="H389" s="15">
        <f>G389/E389</f>
        <v>1</v>
      </c>
    </row>
    <row r="390" spans="1:8">
      <c r="A390" s="13" t="s">
        <v>710</v>
      </c>
      <c r="B390" s="14" t="s">
        <v>819</v>
      </c>
      <c r="C390" s="10">
        <v>10</v>
      </c>
      <c r="D390" s="11">
        <v>9</v>
      </c>
      <c r="E390" s="11">
        <v>9</v>
      </c>
      <c r="F390" s="11"/>
      <c r="G390" s="11">
        <f>E390-F390</f>
        <v>9</v>
      </c>
      <c r="H390" s="15">
        <f>G390/E390</f>
        <v>1</v>
      </c>
    </row>
    <row r="391" spans="1:8">
      <c r="A391" s="13" t="s">
        <v>712</v>
      </c>
      <c r="B391" s="14" t="s">
        <v>820</v>
      </c>
      <c r="C391" s="10">
        <v>10</v>
      </c>
      <c r="D391" s="11">
        <v>9</v>
      </c>
      <c r="E391" s="11">
        <v>9</v>
      </c>
      <c r="F391" s="11"/>
      <c r="G391" s="11">
        <f>E391-F391</f>
        <v>9</v>
      </c>
      <c r="H391" s="15">
        <f>G391/E391</f>
        <v>1</v>
      </c>
    </row>
    <row r="392" spans="1:8">
      <c r="A392" s="13" t="s">
        <v>713</v>
      </c>
      <c r="B392" s="14" t="s">
        <v>821</v>
      </c>
      <c r="C392" s="10">
        <v>10</v>
      </c>
      <c r="D392" s="11">
        <v>9</v>
      </c>
      <c r="E392" s="11">
        <v>9</v>
      </c>
      <c r="F392" s="11"/>
      <c r="G392" s="11">
        <f>E392-F392</f>
        <v>9</v>
      </c>
      <c r="H392" s="15">
        <f>G392/E392</f>
        <v>1</v>
      </c>
    </row>
    <row r="393" spans="1:8">
      <c r="A393" s="8">
        <v>3</v>
      </c>
      <c r="B393" s="9" t="s">
        <v>822</v>
      </c>
      <c r="C393" s="10"/>
      <c r="D393" s="11"/>
      <c r="E393" s="11"/>
      <c r="F393" s="11"/>
      <c r="G393" s="11"/>
      <c r="H393" s="15"/>
    </row>
    <row r="394" spans="1:8">
      <c r="A394" s="13" t="s">
        <v>706</v>
      </c>
      <c r="B394" s="14" t="s">
        <v>823</v>
      </c>
      <c r="C394" s="10">
        <v>25</v>
      </c>
      <c r="D394" s="11">
        <v>25</v>
      </c>
      <c r="E394" s="11">
        <v>25</v>
      </c>
      <c r="F394" s="11"/>
      <c r="G394" s="11">
        <f t="shared" ref="G394:G399" si="22">E394-F394</f>
        <v>25</v>
      </c>
      <c r="H394" s="15">
        <f t="shared" ref="H394:H399" si="23">G394/E394</f>
        <v>1</v>
      </c>
    </row>
    <row r="395" spans="1:8">
      <c r="A395" s="13" t="s">
        <v>709</v>
      </c>
      <c r="B395" s="14" t="s">
        <v>824</v>
      </c>
      <c r="C395" s="10">
        <v>25</v>
      </c>
      <c r="D395" s="11">
        <v>25</v>
      </c>
      <c r="E395" s="11">
        <v>25</v>
      </c>
      <c r="F395" s="11"/>
      <c r="G395" s="11">
        <f t="shared" si="22"/>
        <v>25</v>
      </c>
      <c r="H395" s="15">
        <f t="shared" si="23"/>
        <v>1</v>
      </c>
    </row>
    <row r="396" spans="1:8">
      <c r="A396" s="13" t="s">
        <v>710</v>
      </c>
      <c r="B396" s="14" t="s">
        <v>825</v>
      </c>
      <c r="C396" s="10">
        <v>25</v>
      </c>
      <c r="D396" s="11">
        <v>25</v>
      </c>
      <c r="E396" s="11">
        <v>25</v>
      </c>
      <c r="F396" s="11"/>
      <c r="G396" s="11">
        <f t="shared" si="22"/>
        <v>25</v>
      </c>
      <c r="H396" s="15">
        <f t="shared" si="23"/>
        <v>1</v>
      </c>
    </row>
    <row r="397" spans="1:8">
      <c r="A397" s="13" t="s">
        <v>712</v>
      </c>
      <c r="B397" s="14" t="s">
        <v>826</v>
      </c>
      <c r="C397" s="10">
        <v>25</v>
      </c>
      <c r="D397" s="11">
        <v>25</v>
      </c>
      <c r="E397" s="11">
        <v>25</v>
      </c>
      <c r="F397" s="11"/>
      <c r="G397" s="11">
        <f t="shared" si="22"/>
        <v>25</v>
      </c>
      <c r="H397" s="15">
        <f t="shared" si="23"/>
        <v>1</v>
      </c>
    </row>
    <row r="398" spans="1:8">
      <c r="A398" s="13" t="s">
        <v>713</v>
      </c>
      <c r="B398" s="14" t="s">
        <v>827</v>
      </c>
      <c r="C398" s="10">
        <v>25</v>
      </c>
      <c r="D398" s="11">
        <v>25</v>
      </c>
      <c r="E398" s="11">
        <v>25</v>
      </c>
      <c r="F398" s="11"/>
      <c r="G398" s="11">
        <f t="shared" si="22"/>
        <v>25</v>
      </c>
      <c r="H398" s="15">
        <f t="shared" si="23"/>
        <v>1</v>
      </c>
    </row>
    <row r="399" spans="1:8">
      <c r="A399" s="13" t="s">
        <v>714</v>
      </c>
      <c r="B399" s="14" t="s">
        <v>828</v>
      </c>
      <c r="C399" s="10">
        <v>10</v>
      </c>
      <c r="D399" s="11">
        <v>10</v>
      </c>
      <c r="E399" s="11">
        <v>10</v>
      </c>
      <c r="F399" s="11"/>
      <c r="G399" s="11">
        <f t="shared" si="22"/>
        <v>10</v>
      </c>
      <c r="H399" s="15">
        <f t="shared" si="23"/>
        <v>1</v>
      </c>
    </row>
    <row r="400" spans="1:8">
      <c r="A400" s="8">
        <v>1</v>
      </c>
      <c r="B400" s="9" t="s">
        <v>829</v>
      </c>
      <c r="C400" s="10"/>
      <c r="D400" s="11"/>
      <c r="E400" s="11"/>
      <c r="F400" s="11"/>
      <c r="G400" s="11"/>
      <c r="H400" s="12"/>
    </row>
    <row r="401" spans="1:8">
      <c r="A401" s="13" t="s">
        <v>706</v>
      </c>
      <c r="B401" s="14" t="s">
        <v>711</v>
      </c>
      <c r="C401" s="10">
        <v>50</v>
      </c>
      <c r="D401" s="11">
        <v>50</v>
      </c>
      <c r="E401" s="11">
        <v>50</v>
      </c>
      <c r="F401" s="11"/>
      <c r="G401" s="11">
        <f>E401-F401</f>
        <v>50</v>
      </c>
      <c r="H401" s="15">
        <f>G401/E401</f>
        <v>1</v>
      </c>
    </row>
    <row r="402" spans="1:8" ht="13.5" thickBot="1">
      <c r="A402" s="13" t="s">
        <v>709</v>
      </c>
      <c r="B402" s="14" t="s">
        <v>698</v>
      </c>
      <c r="C402" s="10">
        <v>8.75</v>
      </c>
      <c r="D402" s="11">
        <v>8.75</v>
      </c>
      <c r="E402" s="11">
        <v>8.75</v>
      </c>
      <c r="F402" s="11"/>
      <c r="G402" s="11">
        <f>E402-F402</f>
        <v>8.75</v>
      </c>
      <c r="H402" s="15">
        <f>G402/E402</f>
        <v>1</v>
      </c>
    </row>
    <row r="403" spans="1:8">
      <c r="A403" s="16"/>
      <c r="B403" s="17" t="s">
        <v>717</v>
      </c>
      <c r="C403" s="18">
        <f>SUM(C382:C402)</f>
        <v>6843.75</v>
      </c>
      <c r="D403" s="18">
        <f>SUM(D382:D402)</f>
        <v>6838.75</v>
      </c>
      <c r="E403" s="18">
        <f>SUM(E382:E402)</f>
        <v>6838.75</v>
      </c>
      <c r="F403" s="18">
        <f>SUM(F382:F398)</f>
        <v>2355.0100000000002</v>
      </c>
      <c r="G403" s="18">
        <f>SUM(G382:G398)</f>
        <v>4414.99</v>
      </c>
      <c r="H403" s="36">
        <f>G403/E403</f>
        <v>0.64558435386583801</v>
      </c>
    </row>
    <row r="404" spans="1:8">
      <c r="A404" s="19"/>
      <c r="B404" s="20" t="s">
        <v>718</v>
      </c>
      <c r="C404" s="21"/>
      <c r="D404" s="22"/>
      <c r="E404" s="22"/>
      <c r="F404" s="23"/>
      <c r="G404" s="24"/>
      <c r="H404" s="25"/>
    </row>
    <row r="405" spans="1:8" ht="13.5" thickBot="1">
      <c r="A405" s="26"/>
      <c r="B405" s="27" t="s">
        <v>719</v>
      </c>
      <c r="C405" s="28"/>
      <c r="D405" s="29"/>
      <c r="E405" s="29"/>
      <c r="F405" s="28"/>
      <c r="G405" s="30"/>
      <c r="H405" s="31"/>
    </row>
    <row r="406" spans="1:8">
      <c r="A406" s="224" t="s">
        <v>830</v>
      </c>
      <c r="B406" s="224"/>
      <c r="C406" s="224"/>
      <c r="D406" s="224"/>
      <c r="E406" s="224"/>
      <c r="F406" s="224"/>
      <c r="G406" s="224"/>
      <c r="H406" s="225"/>
    </row>
    <row r="407" spans="1:8" ht="13.5" thickBot="1">
      <c r="A407" s="3"/>
      <c r="B407" s="4" t="s">
        <v>699</v>
      </c>
      <c r="C407" s="5" t="s">
        <v>700</v>
      </c>
      <c r="D407" s="6" t="s">
        <v>701</v>
      </c>
      <c r="E407" s="6" t="s">
        <v>702</v>
      </c>
      <c r="F407" s="6" t="s">
        <v>703</v>
      </c>
      <c r="G407" s="6" t="s">
        <v>704</v>
      </c>
      <c r="H407" s="7" t="s">
        <v>705</v>
      </c>
    </row>
    <row r="408" spans="1:8">
      <c r="A408" s="8">
        <v>1</v>
      </c>
      <c r="B408" s="9" t="s">
        <v>698</v>
      </c>
      <c r="C408" s="10"/>
      <c r="D408" s="11"/>
      <c r="E408" s="11"/>
      <c r="F408" s="11"/>
      <c r="G408" s="11"/>
      <c r="H408" s="12"/>
    </row>
    <row r="409" spans="1:8">
      <c r="A409" s="13" t="s">
        <v>706</v>
      </c>
      <c r="B409" s="14" t="s">
        <v>831</v>
      </c>
      <c r="C409" s="10">
        <v>9</v>
      </c>
      <c r="D409" s="11">
        <v>9</v>
      </c>
      <c r="E409" s="11">
        <v>9</v>
      </c>
      <c r="F409" s="11"/>
      <c r="G409" s="11">
        <f>E409-F409</f>
        <v>9</v>
      </c>
      <c r="H409" s="15">
        <f>G409/E409</f>
        <v>1</v>
      </c>
    </row>
    <row r="410" spans="1:8">
      <c r="A410" s="8">
        <v>2</v>
      </c>
      <c r="B410" s="9" t="s">
        <v>707</v>
      </c>
      <c r="C410" s="10"/>
      <c r="D410" s="11"/>
      <c r="E410" s="11"/>
      <c r="F410" s="11"/>
      <c r="G410" s="11"/>
      <c r="H410" s="15"/>
    </row>
    <row r="411" spans="1:8" ht="13.5" thickBot="1">
      <c r="A411" s="13" t="s">
        <v>706</v>
      </c>
      <c r="B411" s="14" t="s">
        <v>832</v>
      </c>
      <c r="C411" s="10">
        <v>2971</v>
      </c>
      <c r="D411" s="11">
        <v>2971</v>
      </c>
      <c r="E411" s="11">
        <v>2971</v>
      </c>
      <c r="F411" s="11"/>
      <c r="G411" s="11">
        <f>E411-F411</f>
        <v>2971</v>
      </c>
      <c r="H411" s="15">
        <f>G411/E411</f>
        <v>1</v>
      </c>
    </row>
    <row r="412" spans="1:8">
      <c r="A412" s="16"/>
      <c r="B412" s="17" t="s">
        <v>717</v>
      </c>
      <c r="C412" s="18">
        <f>SUM(C409:C411)</f>
        <v>2980</v>
      </c>
      <c r="D412" s="18">
        <f>SUM(D409:D411)</f>
        <v>2980</v>
      </c>
      <c r="E412" s="18">
        <f>SUM(E409:E411)</f>
        <v>2980</v>
      </c>
      <c r="F412" s="18">
        <f>SUM(F409:F411)</f>
        <v>0</v>
      </c>
      <c r="G412" s="18">
        <f>SUM(G409:G411)</f>
        <v>2980</v>
      </c>
      <c r="H412" s="36">
        <f>G412/E412</f>
        <v>1</v>
      </c>
    </row>
    <row r="413" spans="1:8">
      <c r="A413" s="19"/>
      <c r="B413" s="20" t="s">
        <v>718</v>
      </c>
      <c r="C413" s="21"/>
      <c r="D413" s="22"/>
      <c r="E413" s="22"/>
      <c r="F413" s="23"/>
      <c r="G413" s="24"/>
      <c r="H413" s="25"/>
    </row>
    <row r="414" spans="1:8" ht="13.5" thickBot="1">
      <c r="A414" s="26"/>
      <c r="B414" s="27" t="s">
        <v>719</v>
      </c>
      <c r="C414" s="28"/>
      <c r="D414" s="29"/>
      <c r="E414" s="29"/>
      <c r="F414" s="28"/>
      <c r="G414" s="30"/>
      <c r="H414" s="31"/>
    </row>
    <row r="415" spans="1:8">
      <c r="A415" s="224" t="s">
        <v>696</v>
      </c>
      <c r="B415" s="224"/>
      <c r="C415" s="224"/>
      <c r="D415" s="224"/>
      <c r="E415" s="224"/>
      <c r="F415" s="224"/>
      <c r="G415" s="224"/>
      <c r="H415" s="225"/>
    </row>
    <row r="416" spans="1:8" ht="13.5" thickBot="1">
      <c r="A416" s="3"/>
      <c r="B416" s="4" t="s">
        <v>699</v>
      </c>
      <c r="C416" s="5" t="s">
        <v>700</v>
      </c>
      <c r="D416" s="6" t="s">
        <v>701</v>
      </c>
      <c r="E416" s="6" t="s">
        <v>702</v>
      </c>
      <c r="F416" s="6" t="s">
        <v>703</v>
      </c>
      <c r="G416" s="6" t="s">
        <v>704</v>
      </c>
      <c r="H416" s="7" t="s">
        <v>705</v>
      </c>
    </row>
    <row r="417" spans="1:8">
      <c r="A417" s="8">
        <v>1</v>
      </c>
      <c r="B417" s="9" t="s">
        <v>686</v>
      </c>
      <c r="C417" s="10"/>
      <c r="D417" s="11"/>
      <c r="E417" s="11"/>
      <c r="F417" s="11"/>
      <c r="G417" s="11"/>
      <c r="H417" s="12"/>
    </row>
    <row r="418" spans="1:8">
      <c r="A418" s="13" t="s">
        <v>706</v>
      </c>
      <c r="B418" s="14" t="s">
        <v>711</v>
      </c>
      <c r="C418" s="10">
        <v>50</v>
      </c>
      <c r="D418" s="11">
        <v>50</v>
      </c>
      <c r="E418" s="11">
        <v>50</v>
      </c>
      <c r="F418" s="11">
        <f>49.72</f>
        <v>49.72</v>
      </c>
      <c r="G418" s="11">
        <f>E418-F418</f>
        <v>0.28000000000000114</v>
      </c>
      <c r="H418" s="15">
        <f>G418/E418</f>
        <v>5.6000000000000225E-3</v>
      </c>
    </row>
    <row r="419" spans="1:8">
      <c r="A419" s="13" t="s">
        <v>709</v>
      </c>
      <c r="B419" s="14" t="s">
        <v>698</v>
      </c>
      <c r="C419" s="10">
        <v>9</v>
      </c>
      <c r="D419" s="11">
        <v>9</v>
      </c>
      <c r="E419" s="11">
        <v>9</v>
      </c>
      <c r="F419" s="11"/>
      <c r="G419" s="11">
        <f>E419-F419</f>
        <v>9</v>
      </c>
      <c r="H419" s="15">
        <f>G419/E419</f>
        <v>1</v>
      </c>
    </row>
    <row r="420" spans="1:8">
      <c r="A420" s="8">
        <v>2</v>
      </c>
      <c r="B420" s="9" t="s">
        <v>707</v>
      </c>
      <c r="C420" s="10"/>
      <c r="D420" s="11"/>
      <c r="E420" s="11"/>
      <c r="F420" s="11"/>
      <c r="G420" s="11"/>
      <c r="H420" s="15"/>
    </row>
    <row r="421" spans="1:8" ht="13.5" thickBot="1">
      <c r="A421" s="13" t="s">
        <v>706</v>
      </c>
      <c r="B421" s="14" t="s">
        <v>615</v>
      </c>
      <c r="C421" s="10">
        <v>3186</v>
      </c>
      <c r="D421" s="11">
        <v>3186</v>
      </c>
      <c r="E421" s="11">
        <v>3186</v>
      </c>
      <c r="F421" s="11"/>
      <c r="G421" s="11">
        <f>E421-F421</f>
        <v>3186</v>
      </c>
      <c r="H421" s="15">
        <f>G421/E421</f>
        <v>1</v>
      </c>
    </row>
    <row r="422" spans="1:8">
      <c r="A422" s="16"/>
      <c r="B422" s="17" t="s">
        <v>717</v>
      </c>
      <c r="C422" s="18">
        <f>SUM(C418:C421)</f>
        <v>3245</v>
      </c>
      <c r="D422" s="18">
        <f>SUM(D418:D421)</f>
        <v>3245</v>
      </c>
      <c r="E422" s="18">
        <f>SUM(E418:E421)</f>
        <v>3245</v>
      </c>
      <c r="F422" s="18">
        <f>SUM(F418:F421)</f>
        <v>49.72</v>
      </c>
      <c r="G422" s="18">
        <f>SUM(G418:G421)</f>
        <v>3195.28</v>
      </c>
      <c r="H422" s="36">
        <f>G422/E422</f>
        <v>0.984677966101695</v>
      </c>
    </row>
    <row r="423" spans="1:8">
      <c r="A423" s="19"/>
      <c r="B423" s="20" t="s">
        <v>718</v>
      </c>
      <c r="C423" s="21"/>
      <c r="D423" s="22"/>
      <c r="E423" s="22"/>
      <c r="F423" s="23"/>
      <c r="G423" s="24"/>
      <c r="H423" s="25"/>
    </row>
    <row r="424" spans="1:8" ht="13.5" thickBot="1">
      <c r="A424" s="26"/>
      <c r="B424" s="27" t="s">
        <v>719</v>
      </c>
      <c r="C424" s="28"/>
      <c r="D424" s="29"/>
      <c r="E424" s="29"/>
      <c r="F424" s="28"/>
      <c r="G424" s="30"/>
      <c r="H424" s="31"/>
    </row>
    <row r="425" spans="1:8">
      <c r="A425" s="96"/>
      <c r="B425" s="224" t="s">
        <v>338</v>
      </c>
      <c r="C425" s="224"/>
      <c r="D425" s="224"/>
      <c r="E425" s="224"/>
      <c r="F425" s="224"/>
      <c r="G425" s="224"/>
      <c r="H425" s="224"/>
    </row>
    <row r="426" spans="1:8" ht="13.5" thickBot="1">
      <c r="A426" s="3"/>
      <c r="B426" s="4" t="s">
        <v>699</v>
      </c>
      <c r="C426" s="5" t="s">
        <v>700</v>
      </c>
      <c r="D426" s="6" t="s">
        <v>701</v>
      </c>
      <c r="E426" s="6" t="s">
        <v>702</v>
      </c>
      <c r="F426" s="6" t="s">
        <v>703</v>
      </c>
      <c r="G426" s="6" t="s">
        <v>704</v>
      </c>
      <c r="H426" s="7" t="s">
        <v>705</v>
      </c>
    </row>
    <row r="427" spans="1:8">
      <c r="A427" s="97">
        <v>1</v>
      </c>
      <c r="B427" s="98" t="s">
        <v>339</v>
      </c>
      <c r="C427" s="99"/>
      <c r="D427" s="11"/>
      <c r="E427" s="11"/>
      <c r="F427" s="11"/>
      <c r="G427" s="11"/>
      <c r="H427" s="12"/>
    </row>
    <row r="428" spans="1:8">
      <c r="A428" s="100" t="s">
        <v>706</v>
      </c>
      <c r="B428" s="101" t="s">
        <v>711</v>
      </c>
      <c r="C428" s="99">
        <v>250</v>
      </c>
      <c r="D428" s="11">
        <v>50</v>
      </c>
      <c r="E428" s="11">
        <v>50</v>
      </c>
      <c r="F428" s="11"/>
      <c r="G428" s="11">
        <v>0</v>
      </c>
      <c r="H428" s="15" t="e">
        <v>#DIV/0!</v>
      </c>
    </row>
    <row r="429" spans="1:8">
      <c r="A429" s="97">
        <v>2</v>
      </c>
      <c r="B429" s="98" t="s">
        <v>708</v>
      </c>
      <c r="C429" s="99"/>
      <c r="D429" s="11"/>
      <c r="E429" s="11"/>
      <c r="F429" s="11"/>
      <c r="G429" s="11"/>
      <c r="H429" s="15"/>
    </row>
    <row r="430" spans="1:8" ht="13.5" thickBot="1">
      <c r="A430" s="100" t="s">
        <v>706</v>
      </c>
      <c r="B430" s="101" t="s">
        <v>340</v>
      </c>
      <c r="C430" s="99">
        <v>9</v>
      </c>
      <c r="D430" s="11">
        <v>9</v>
      </c>
      <c r="E430" s="11">
        <v>9</v>
      </c>
      <c r="F430" s="11"/>
      <c r="G430" s="11">
        <v>0</v>
      </c>
      <c r="H430" s="15" t="e">
        <v>#DIV/0!</v>
      </c>
    </row>
    <row r="431" spans="1:8" ht="13.5" thickBot="1">
      <c r="A431" s="3"/>
      <c r="B431" s="17" t="s">
        <v>717</v>
      </c>
      <c r="C431" s="18">
        <f t="shared" ref="C431:H431" si="24">SUM(C428:C430)</f>
        <v>259</v>
      </c>
      <c r="D431" s="18">
        <f t="shared" si="24"/>
        <v>59</v>
      </c>
      <c r="E431" s="18">
        <f>SUM(E428:E430)</f>
        <v>59</v>
      </c>
      <c r="F431" s="18">
        <f t="shared" si="24"/>
        <v>0</v>
      </c>
      <c r="G431" s="18">
        <f t="shared" si="24"/>
        <v>0</v>
      </c>
      <c r="H431" s="18" t="e">
        <f t="shared" si="24"/>
        <v>#DIV/0!</v>
      </c>
    </row>
    <row r="432" spans="1:8" ht="13.5" thickBot="1">
      <c r="A432" s="3"/>
      <c r="B432" s="20" t="s">
        <v>718</v>
      </c>
      <c r="C432" s="21"/>
      <c r="D432" s="22"/>
      <c r="E432" s="22"/>
      <c r="F432" s="23"/>
      <c r="G432" s="24"/>
      <c r="H432" s="25"/>
    </row>
    <row r="433" spans="1:8" ht="13.5" thickBot="1">
      <c r="A433" s="3"/>
      <c r="B433" s="27" t="s">
        <v>719</v>
      </c>
      <c r="C433" s="28"/>
      <c r="D433" s="29"/>
      <c r="E433" s="29"/>
      <c r="F433" s="28"/>
      <c r="G433" s="30"/>
      <c r="H433" s="31"/>
    </row>
    <row r="434" spans="1:8" ht="12.75" customHeight="1">
      <c r="A434" s="93"/>
      <c r="B434" s="95" t="s">
        <v>337</v>
      </c>
      <c r="C434" s="94">
        <f t="shared" ref="C434:H434" si="25">SUM(C364,C376,C403,C412,C422,C431)</f>
        <v>17544.75</v>
      </c>
      <c r="D434" s="94">
        <f t="shared" si="25"/>
        <v>17319.75</v>
      </c>
      <c r="E434" s="94">
        <f>SUM(E364,E376,E403,E412,E422,E431)</f>
        <v>17319.75</v>
      </c>
      <c r="F434" s="94">
        <f t="shared" si="25"/>
        <v>2444.23</v>
      </c>
      <c r="G434" s="94">
        <f t="shared" si="25"/>
        <v>14747.77</v>
      </c>
      <c r="H434" s="94" t="e">
        <f t="shared" si="25"/>
        <v>#DIV/0!</v>
      </c>
    </row>
    <row r="435" spans="1:8" ht="13.5" thickBot="1">
      <c r="A435" s="226" t="s">
        <v>565</v>
      </c>
      <c r="B435" s="226"/>
      <c r="C435" s="226"/>
      <c r="D435" s="226"/>
      <c r="E435" s="226"/>
      <c r="F435" s="226"/>
      <c r="G435" s="226"/>
      <c r="H435" s="226"/>
    </row>
    <row r="436" spans="1:8">
      <c r="A436" s="224" t="s">
        <v>566</v>
      </c>
      <c r="B436" s="224"/>
      <c r="C436" s="224"/>
      <c r="D436" s="224"/>
      <c r="E436" s="224"/>
      <c r="F436" s="224"/>
      <c r="G436" s="224"/>
      <c r="H436" s="225"/>
    </row>
    <row r="437" spans="1:8" ht="13.5" thickBot="1">
      <c r="A437" s="3"/>
      <c r="B437" s="4" t="s">
        <v>699</v>
      </c>
      <c r="C437" s="5" t="s">
        <v>700</v>
      </c>
      <c r="D437" s="6" t="s">
        <v>701</v>
      </c>
      <c r="E437" s="6" t="s">
        <v>702</v>
      </c>
      <c r="F437" s="6" t="s">
        <v>703</v>
      </c>
      <c r="G437" s="6" t="s">
        <v>704</v>
      </c>
      <c r="H437" s="7" t="s">
        <v>705</v>
      </c>
    </row>
    <row r="438" spans="1:8">
      <c r="A438" s="8">
        <v>1</v>
      </c>
      <c r="B438" s="9" t="s">
        <v>567</v>
      </c>
      <c r="C438" s="10"/>
      <c r="D438" s="11"/>
      <c r="E438" s="11"/>
      <c r="F438" s="11"/>
      <c r="G438" s="11"/>
      <c r="H438" s="12"/>
    </row>
    <row r="439" spans="1:8">
      <c r="A439" s="13" t="s">
        <v>706</v>
      </c>
      <c r="B439" s="14" t="s">
        <v>568</v>
      </c>
      <c r="C439" s="10">
        <v>100</v>
      </c>
      <c r="D439" s="11">
        <v>100</v>
      </c>
      <c r="E439" s="11">
        <v>100</v>
      </c>
      <c r="F439" s="11">
        <f>68</f>
        <v>68</v>
      </c>
      <c r="G439" s="11">
        <f t="shared" ref="G439:G447" si="26">E439-F439</f>
        <v>32</v>
      </c>
      <c r="H439" s="15">
        <f t="shared" ref="H439:H447" si="27">G439/E439</f>
        <v>0.32</v>
      </c>
    </row>
    <row r="440" spans="1:8">
      <c r="A440" s="13" t="s">
        <v>709</v>
      </c>
      <c r="B440" s="14" t="s">
        <v>569</v>
      </c>
      <c r="C440" s="10">
        <v>200</v>
      </c>
      <c r="D440" s="11">
        <v>200</v>
      </c>
      <c r="E440" s="11">
        <v>200</v>
      </c>
      <c r="F440" s="11">
        <f>200</f>
        <v>200</v>
      </c>
      <c r="G440" s="11">
        <f t="shared" si="26"/>
        <v>0</v>
      </c>
      <c r="H440" s="15">
        <f t="shared" si="27"/>
        <v>0</v>
      </c>
    </row>
    <row r="441" spans="1:8">
      <c r="A441" s="13" t="s">
        <v>710</v>
      </c>
      <c r="B441" s="14" t="s">
        <v>570</v>
      </c>
      <c r="C441" s="10">
        <v>100</v>
      </c>
      <c r="D441" s="11">
        <v>100</v>
      </c>
      <c r="E441" s="11">
        <v>100</v>
      </c>
      <c r="F441" s="11">
        <f>89.82</f>
        <v>89.82</v>
      </c>
      <c r="G441" s="11">
        <f t="shared" si="26"/>
        <v>10.180000000000007</v>
      </c>
      <c r="H441" s="15">
        <f t="shared" si="27"/>
        <v>0.10180000000000007</v>
      </c>
    </row>
    <row r="442" spans="1:8">
      <c r="A442" s="13" t="s">
        <v>712</v>
      </c>
      <c r="B442" s="14" t="s">
        <v>571</v>
      </c>
      <c r="C442" s="10">
        <v>50</v>
      </c>
      <c r="D442" s="11">
        <v>50</v>
      </c>
      <c r="E442" s="11">
        <v>50</v>
      </c>
      <c r="F442" s="11">
        <v>44</v>
      </c>
      <c r="G442" s="11">
        <f t="shared" si="26"/>
        <v>6</v>
      </c>
      <c r="H442" s="15">
        <f t="shared" si="27"/>
        <v>0.12</v>
      </c>
    </row>
    <row r="443" spans="1:8">
      <c r="A443" s="13" t="s">
        <v>713</v>
      </c>
      <c r="B443" s="14" t="s">
        <v>572</v>
      </c>
      <c r="C443" s="10">
        <v>100</v>
      </c>
      <c r="D443" s="11">
        <v>100</v>
      </c>
      <c r="E443" s="11">
        <v>100</v>
      </c>
      <c r="F443" s="11">
        <v>98.82</v>
      </c>
      <c r="G443" s="11">
        <f t="shared" si="26"/>
        <v>1.1800000000000068</v>
      </c>
      <c r="H443" s="15">
        <f t="shared" si="27"/>
        <v>1.1800000000000067E-2</v>
      </c>
    </row>
    <row r="444" spans="1:8">
      <c r="A444" s="13" t="s">
        <v>714</v>
      </c>
      <c r="B444" s="14" t="s">
        <v>573</v>
      </c>
      <c r="C444" s="10">
        <v>30</v>
      </c>
      <c r="D444" s="11">
        <v>30</v>
      </c>
      <c r="E444" s="11">
        <v>30</v>
      </c>
      <c r="F444" s="11">
        <v>20.96</v>
      </c>
      <c r="G444" s="11">
        <f t="shared" si="26"/>
        <v>9.0399999999999991</v>
      </c>
      <c r="H444" s="15">
        <f t="shared" si="27"/>
        <v>0.30133333333333329</v>
      </c>
    </row>
    <row r="445" spans="1:8">
      <c r="A445" s="13" t="s">
        <v>715</v>
      </c>
      <c r="B445" s="14" t="s">
        <v>574</v>
      </c>
      <c r="C445" s="10">
        <v>50</v>
      </c>
      <c r="D445" s="11">
        <v>50</v>
      </c>
      <c r="E445" s="11">
        <v>50</v>
      </c>
      <c r="F445" s="11">
        <v>43.96</v>
      </c>
      <c r="G445" s="11">
        <f t="shared" si="26"/>
        <v>6.0399999999999991</v>
      </c>
      <c r="H445" s="15">
        <f t="shared" si="27"/>
        <v>0.12079999999999998</v>
      </c>
    </row>
    <row r="446" spans="1:8">
      <c r="A446" s="13" t="s">
        <v>716</v>
      </c>
      <c r="B446" s="14" t="s">
        <v>708</v>
      </c>
      <c r="C446" s="10">
        <v>9</v>
      </c>
      <c r="D446" s="11">
        <v>9</v>
      </c>
      <c r="E446" s="11">
        <v>9</v>
      </c>
      <c r="F446" s="11"/>
      <c r="G446" s="11">
        <f t="shared" si="26"/>
        <v>9</v>
      </c>
      <c r="H446" s="15">
        <f t="shared" si="27"/>
        <v>1</v>
      </c>
    </row>
    <row r="447" spans="1:8">
      <c r="A447" s="13" t="s">
        <v>911</v>
      </c>
      <c r="B447" s="14" t="s">
        <v>575</v>
      </c>
      <c r="C447" s="10">
        <v>30</v>
      </c>
      <c r="D447" s="11">
        <v>30</v>
      </c>
      <c r="E447" s="11">
        <v>30</v>
      </c>
      <c r="F447" s="11">
        <f>23.97</f>
        <v>23.97</v>
      </c>
      <c r="G447" s="11">
        <f t="shared" si="26"/>
        <v>6.0300000000000011</v>
      </c>
      <c r="H447" s="15">
        <f t="shared" si="27"/>
        <v>0.20100000000000004</v>
      </c>
    </row>
    <row r="448" spans="1:8">
      <c r="A448" s="8">
        <v>2</v>
      </c>
      <c r="B448" s="9" t="s">
        <v>576</v>
      </c>
      <c r="C448" s="10"/>
      <c r="D448" s="11"/>
      <c r="E448" s="11"/>
      <c r="F448" s="11"/>
      <c r="G448" s="11"/>
      <c r="H448" s="15"/>
    </row>
    <row r="449" spans="1:8">
      <c r="A449" s="13" t="s">
        <v>706</v>
      </c>
      <c r="B449" s="14" t="s">
        <v>577</v>
      </c>
      <c r="C449" s="10">
        <v>600</v>
      </c>
      <c r="D449" s="11">
        <v>600</v>
      </c>
      <c r="E449" s="11">
        <v>600</v>
      </c>
      <c r="F449" s="11">
        <f>500</f>
        <v>500</v>
      </c>
      <c r="G449" s="11">
        <f>E449-F449</f>
        <v>100</v>
      </c>
      <c r="H449" s="15">
        <f>G449/E449</f>
        <v>0.16666666666666666</v>
      </c>
    </row>
    <row r="450" spans="1:8">
      <c r="A450" s="13" t="s">
        <v>709</v>
      </c>
      <c r="B450" s="14" t="s">
        <v>569</v>
      </c>
      <c r="C450" s="10">
        <v>100</v>
      </c>
      <c r="D450" s="11">
        <v>100</v>
      </c>
      <c r="E450" s="11">
        <v>100</v>
      </c>
      <c r="F450" s="11">
        <f>100</f>
        <v>100</v>
      </c>
      <c r="G450" s="11">
        <f>E450-F450</f>
        <v>0</v>
      </c>
      <c r="H450" s="15">
        <f>G450/E450</f>
        <v>0</v>
      </c>
    </row>
    <row r="451" spans="1:8">
      <c r="A451" s="8">
        <v>3</v>
      </c>
      <c r="B451" s="9" t="s">
        <v>578</v>
      </c>
      <c r="C451" s="10"/>
      <c r="D451" s="11"/>
      <c r="E451" s="11"/>
      <c r="F451" s="11"/>
      <c r="G451" s="11"/>
      <c r="H451" s="12"/>
    </row>
    <row r="452" spans="1:8">
      <c r="A452" s="13" t="s">
        <v>706</v>
      </c>
      <c r="B452" s="14" t="s">
        <v>579</v>
      </c>
      <c r="C452" s="10">
        <v>4500</v>
      </c>
      <c r="D452" s="11">
        <v>4500</v>
      </c>
      <c r="E452" s="11">
        <v>4500</v>
      </c>
      <c r="F452" s="11">
        <f>3500</f>
        <v>3500</v>
      </c>
      <c r="G452" s="11">
        <f>E452-F452</f>
        <v>1000</v>
      </c>
      <c r="H452" s="15">
        <f>G452/E452</f>
        <v>0.22222222222222221</v>
      </c>
    </row>
    <row r="453" spans="1:8">
      <c r="A453" s="8">
        <v>4</v>
      </c>
      <c r="B453" s="9" t="s">
        <v>759</v>
      </c>
      <c r="C453" s="10"/>
      <c r="D453" s="11"/>
      <c r="E453" s="11"/>
      <c r="F453" s="11"/>
      <c r="G453" s="11"/>
      <c r="H453" s="12"/>
    </row>
    <row r="454" spans="1:8">
      <c r="A454" s="13" t="s">
        <v>706</v>
      </c>
      <c r="B454" s="14" t="s">
        <v>760</v>
      </c>
      <c r="C454" s="10">
        <v>1600</v>
      </c>
      <c r="D454" s="11">
        <v>1600</v>
      </c>
      <c r="E454" s="11">
        <v>1600</v>
      </c>
      <c r="F454" s="11">
        <f>104+50+50+100+200+54+24+50+50+50+56</f>
        <v>788</v>
      </c>
      <c r="G454" s="11">
        <f>E454-F454</f>
        <v>812</v>
      </c>
      <c r="H454" s="15">
        <f>G454/E454</f>
        <v>0.50749999999999995</v>
      </c>
    </row>
    <row r="455" spans="1:8">
      <c r="A455" s="8">
        <v>5</v>
      </c>
      <c r="B455" s="9" t="s">
        <v>761</v>
      </c>
      <c r="C455" s="10"/>
      <c r="D455" s="11"/>
      <c r="E455" s="11"/>
      <c r="F455" s="11"/>
      <c r="G455" s="11"/>
      <c r="H455" s="15"/>
    </row>
    <row r="456" spans="1:8">
      <c r="A456" s="13" t="s">
        <v>706</v>
      </c>
      <c r="B456" s="14" t="s">
        <v>762</v>
      </c>
      <c r="C456" s="10">
        <v>250</v>
      </c>
      <c r="D456" s="11">
        <v>250</v>
      </c>
      <c r="E456" s="11">
        <v>250</v>
      </c>
      <c r="F456" s="11">
        <f>52.89</f>
        <v>52.89</v>
      </c>
      <c r="G456" s="11">
        <f>E456-F456</f>
        <v>197.11</v>
      </c>
      <c r="H456" s="15">
        <f>G456/E456</f>
        <v>0.78844000000000003</v>
      </c>
    </row>
    <row r="457" spans="1:8">
      <c r="A457" s="13" t="s">
        <v>709</v>
      </c>
      <c r="B457" s="14" t="s">
        <v>763</v>
      </c>
      <c r="C457" s="10">
        <v>50</v>
      </c>
      <c r="D457" s="11">
        <v>50</v>
      </c>
      <c r="E457" s="11">
        <v>50</v>
      </c>
      <c r="F457" s="11"/>
      <c r="G457" s="11">
        <f>E457-F457</f>
        <v>50</v>
      </c>
      <c r="H457" s="15">
        <f>G457/E457</f>
        <v>1</v>
      </c>
    </row>
    <row r="458" spans="1:8">
      <c r="A458" s="13" t="s">
        <v>710</v>
      </c>
      <c r="B458" s="14" t="s">
        <v>764</v>
      </c>
      <c r="C458" s="10">
        <v>110</v>
      </c>
      <c r="D458" s="11">
        <v>110</v>
      </c>
      <c r="E458" s="11">
        <v>110</v>
      </c>
      <c r="F458" s="11">
        <f>84.92</f>
        <v>84.92</v>
      </c>
      <c r="G458" s="11">
        <f>E458-F458</f>
        <v>25.08</v>
      </c>
      <c r="H458" s="15">
        <f>G458/E458</f>
        <v>0.22799999999999998</v>
      </c>
    </row>
    <row r="459" spans="1:8">
      <c r="A459" s="13" t="s">
        <v>712</v>
      </c>
      <c r="B459" s="14" t="s">
        <v>765</v>
      </c>
      <c r="C459" s="10">
        <v>75</v>
      </c>
      <c r="D459" s="11">
        <v>75</v>
      </c>
      <c r="E459" s="11">
        <v>75</v>
      </c>
      <c r="F459" s="11"/>
      <c r="G459" s="11">
        <f>E459-F459</f>
        <v>75</v>
      </c>
      <c r="H459" s="15">
        <f>G459/E459</f>
        <v>1</v>
      </c>
    </row>
    <row r="460" spans="1:8">
      <c r="A460" s="8">
        <v>6</v>
      </c>
      <c r="B460" s="9" t="s">
        <v>708</v>
      </c>
      <c r="C460" s="10"/>
      <c r="D460" s="11"/>
      <c r="E460" s="11"/>
      <c r="F460" s="11"/>
      <c r="G460" s="11"/>
      <c r="H460" s="12"/>
    </row>
    <row r="461" spans="1:8" ht="13.5" thickBot="1">
      <c r="A461" s="13" t="s">
        <v>706</v>
      </c>
      <c r="B461" s="14" t="s">
        <v>766</v>
      </c>
      <c r="C461" s="10">
        <v>45</v>
      </c>
      <c r="D461" s="11">
        <v>45</v>
      </c>
      <c r="E461" s="11">
        <v>45</v>
      </c>
      <c r="F461" s="11"/>
      <c r="G461" s="11">
        <f>E461-F461</f>
        <v>45</v>
      </c>
      <c r="H461" s="15">
        <f>G461/E461</f>
        <v>1</v>
      </c>
    </row>
    <row r="462" spans="1:8">
      <c r="A462" s="16"/>
      <c r="B462" s="17" t="s">
        <v>717</v>
      </c>
      <c r="C462" s="18">
        <f>SUM(C439:C461)</f>
        <v>7999</v>
      </c>
      <c r="D462" s="18">
        <f>SUM(D439:D461)</f>
        <v>7999</v>
      </c>
      <c r="E462" s="18">
        <f>SUM(E439:E461)</f>
        <v>7999</v>
      </c>
      <c r="F462" s="18">
        <f>SUM(F439:F449)</f>
        <v>1089.5300000000002</v>
      </c>
      <c r="G462" s="18">
        <f>SUM(G439:G449)</f>
        <v>179.47000000000003</v>
      </c>
      <c r="H462" s="36">
        <f>G462/E462</f>
        <v>2.2436554569321168E-2</v>
      </c>
    </row>
    <row r="463" spans="1:8">
      <c r="A463" s="19"/>
      <c r="B463" s="20" t="s">
        <v>718</v>
      </c>
      <c r="C463" s="21"/>
      <c r="D463" s="22"/>
      <c r="E463" s="22"/>
      <c r="F463" s="23"/>
      <c r="G463" s="24"/>
      <c r="H463" s="25"/>
    </row>
    <row r="464" spans="1:8" ht="13.5" thickBot="1">
      <c r="A464" s="26"/>
      <c r="B464" s="27" t="s">
        <v>719</v>
      </c>
      <c r="C464" s="28"/>
      <c r="D464" s="29"/>
      <c r="E464" s="29"/>
      <c r="F464" s="28"/>
      <c r="G464" s="30"/>
      <c r="H464" s="31"/>
    </row>
    <row r="465" spans="1:8">
      <c r="A465" s="224" t="s">
        <v>767</v>
      </c>
      <c r="B465" s="224"/>
      <c r="C465" s="224"/>
      <c r="D465" s="224"/>
      <c r="E465" s="224"/>
      <c r="F465" s="224"/>
      <c r="G465" s="224"/>
      <c r="H465" s="225"/>
    </row>
    <row r="466" spans="1:8" ht="13.5" thickBot="1">
      <c r="A466" s="3"/>
      <c r="B466" s="4" t="s">
        <v>699</v>
      </c>
      <c r="C466" s="5" t="s">
        <v>700</v>
      </c>
      <c r="D466" s="6" t="s">
        <v>701</v>
      </c>
      <c r="E466" s="6" t="s">
        <v>702</v>
      </c>
      <c r="F466" s="6" t="s">
        <v>703</v>
      </c>
      <c r="G466" s="6" t="s">
        <v>704</v>
      </c>
      <c r="H466" s="7" t="s">
        <v>705</v>
      </c>
    </row>
    <row r="467" spans="1:8">
      <c r="A467" s="8">
        <v>1</v>
      </c>
      <c r="B467" s="9" t="s">
        <v>686</v>
      </c>
      <c r="C467" s="10"/>
      <c r="D467" s="11"/>
      <c r="E467" s="11"/>
      <c r="F467" s="11"/>
      <c r="G467" s="11"/>
      <c r="H467" s="12"/>
    </row>
    <row r="468" spans="1:8">
      <c r="A468" s="13" t="s">
        <v>706</v>
      </c>
      <c r="B468" s="14" t="s">
        <v>711</v>
      </c>
      <c r="C468" s="10">
        <v>50</v>
      </c>
      <c r="D468" s="11">
        <v>50</v>
      </c>
      <c r="E468" s="11">
        <v>50</v>
      </c>
      <c r="F468" s="11"/>
      <c r="G468" s="11">
        <f>E468-F468</f>
        <v>50</v>
      </c>
      <c r="H468" s="15">
        <f>G468/E468</f>
        <v>1</v>
      </c>
    </row>
    <row r="469" spans="1:8">
      <c r="A469" s="13" t="s">
        <v>709</v>
      </c>
      <c r="B469" s="14" t="s">
        <v>708</v>
      </c>
      <c r="C469" s="10">
        <v>9</v>
      </c>
      <c r="D469" s="11">
        <v>9</v>
      </c>
      <c r="E469" s="11">
        <v>9</v>
      </c>
      <c r="F469" s="11"/>
      <c r="G469" s="11">
        <f>E469-F469</f>
        <v>9</v>
      </c>
      <c r="H469" s="15">
        <f>G469/E469</f>
        <v>1</v>
      </c>
    </row>
    <row r="470" spans="1:8">
      <c r="A470" s="8">
        <v>2</v>
      </c>
      <c r="B470" s="9" t="s">
        <v>578</v>
      </c>
      <c r="C470" s="10"/>
      <c r="D470" s="11"/>
      <c r="E470" s="11"/>
      <c r="F470" s="11"/>
      <c r="G470" s="11"/>
      <c r="H470" s="15"/>
    </row>
    <row r="471" spans="1:8" ht="13.5" thickBot="1">
      <c r="A471" s="13" t="s">
        <v>706</v>
      </c>
      <c r="B471" s="14" t="s">
        <v>768</v>
      </c>
      <c r="C471" s="10">
        <v>2500</v>
      </c>
      <c r="D471" s="11">
        <v>2500</v>
      </c>
      <c r="E471" s="11">
        <v>2500</v>
      </c>
      <c r="F471" s="11"/>
      <c r="G471" s="11">
        <f>E471-F471</f>
        <v>2500</v>
      </c>
      <c r="H471" s="15">
        <f>G471/E471</f>
        <v>1</v>
      </c>
    </row>
    <row r="472" spans="1:8">
      <c r="A472" s="16"/>
      <c r="B472" s="17" t="s">
        <v>717</v>
      </c>
      <c r="C472" s="18">
        <f>SUM(C468:C471)</f>
        <v>2559</v>
      </c>
      <c r="D472" s="18">
        <f>SUM(D468:D471)</f>
        <v>2559</v>
      </c>
      <c r="E472" s="18">
        <f>SUM(E468:E471)</f>
        <v>2559</v>
      </c>
      <c r="F472" s="18">
        <f>SUM(F468:F471)</f>
        <v>0</v>
      </c>
      <c r="G472" s="18">
        <f>SUM(G468:G471)</f>
        <v>2559</v>
      </c>
      <c r="H472" s="36">
        <f>G472/E472</f>
        <v>1</v>
      </c>
    </row>
    <row r="473" spans="1:8">
      <c r="A473" s="19"/>
      <c r="B473" s="20" t="s">
        <v>718</v>
      </c>
      <c r="C473" s="21"/>
      <c r="D473" s="22"/>
      <c r="E473" s="22"/>
      <c r="F473" s="23"/>
      <c r="G473" s="24"/>
      <c r="H473" s="25"/>
    </row>
    <row r="474" spans="1:8" ht="13.5" thickBot="1">
      <c r="A474" s="26"/>
      <c r="B474" s="27" t="s">
        <v>719</v>
      </c>
      <c r="C474" s="28"/>
      <c r="D474" s="29"/>
      <c r="E474" s="29"/>
      <c r="F474" s="28"/>
      <c r="G474" s="30"/>
      <c r="H474" s="31"/>
    </row>
    <row r="475" spans="1:8">
      <c r="A475" s="224" t="s">
        <v>591</v>
      </c>
      <c r="B475" s="224"/>
      <c r="C475" s="224"/>
      <c r="D475" s="224"/>
      <c r="E475" s="224"/>
      <c r="F475" s="224"/>
      <c r="G475" s="224"/>
      <c r="H475" s="225"/>
    </row>
    <row r="476" spans="1:8" ht="13.5" thickBot="1">
      <c r="A476" s="3"/>
      <c r="B476" s="4" t="s">
        <v>699</v>
      </c>
      <c r="C476" s="5" t="s">
        <v>700</v>
      </c>
      <c r="D476" s="6" t="s">
        <v>701</v>
      </c>
      <c r="E476" s="6" t="s">
        <v>702</v>
      </c>
      <c r="F476" s="6" t="s">
        <v>703</v>
      </c>
      <c r="G476" s="6" t="s">
        <v>704</v>
      </c>
      <c r="H476" s="7" t="s">
        <v>705</v>
      </c>
    </row>
    <row r="477" spans="1:8">
      <c r="A477" s="8">
        <v>1</v>
      </c>
      <c r="B477" s="9" t="s">
        <v>686</v>
      </c>
      <c r="C477" s="10"/>
      <c r="D477" s="11"/>
      <c r="E477" s="11"/>
      <c r="F477" s="11"/>
      <c r="G477" s="11"/>
      <c r="H477" s="12"/>
    </row>
    <row r="478" spans="1:8">
      <c r="A478" s="13" t="s">
        <v>706</v>
      </c>
      <c r="B478" s="14" t="s">
        <v>711</v>
      </c>
      <c r="C478" s="10">
        <v>50</v>
      </c>
      <c r="D478" s="11">
        <v>50</v>
      </c>
      <c r="E478" s="11">
        <v>50</v>
      </c>
      <c r="F478" s="11"/>
      <c r="G478" s="11">
        <f>E478-F478</f>
        <v>50</v>
      </c>
      <c r="H478" s="15">
        <f>G478/E478</f>
        <v>1</v>
      </c>
    </row>
    <row r="479" spans="1:8">
      <c r="A479" s="13" t="s">
        <v>709</v>
      </c>
      <c r="B479" s="14" t="s">
        <v>708</v>
      </c>
      <c r="C479" s="10">
        <v>9</v>
      </c>
      <c r="D479" s="11">
        <v>9</v>
      </c>
      <c r="E479" s="11">
        <v>9</v>
      </c>
      <c r="F479" s="11"/>
      <c r="G479" s="11">
        <f>E479-F479</f>
        <v>9</v>
      </c>
      <c r="H479" s="15">
        <f>G479/E479</f>
        <v>1</v>
      </c>
    </row>
    <row r="480" spans="1:8">
      <c r="A480" s="8">
        <v>2</v>
      </c>
      <c r="B480" s="9" t="s">
        <v>708</v>
      </c>
      <c r="C480" s="10"/>
      <c r="D480" s="11"/>
      <c r="E480" s="11"/>
      <c r="F480" s="11"/>
      <c r="G480" s="11"/>
      <c r="H480" s="15"/>
    </row>
    <row r="481" spans="1:8">
      <c r="A481" s="13" t="s">
        <v>706</v>
      </c>
      <c r="B481" s="14" t="s">
        <v>592</v>
      </c>
      <c r="C481" s="10">
        <v>9</v>
      </c>
      <c r="D481" s="11">
        <v>9</v>
      </c>
      <c r="E481" s="11">
        <v>9</v>
      </c>
      <c r="F481" s="11"/>
      <c r="G481" s="11">
        <f>E481-F481</f>
        <v>9</v>
      </c>
      <c r="H481" s="15">
        <f>G481/E481</f>
        <v>1</v>
      </c>
    </row>
    <row r="482" spans="1:8">
      <c r="A482" s="8">
        <v>3</v>
      </c>
      <c r="B482" s="9" t="s">
        <v>593</v>
      </c>
      <c r="C482" s="10"/>
      <c r="D482" s="11"/>
      <c r="E482" s="11"/>
      <c r="F482" s="11"/>
      <c r="G482" s="11"/>
      <c r="H482" s="12"/>
    </row>
    <row r="483" spans="1:8">
      <c r="A483" s="13" t="s">
        <v>706</v>
      </c>
      <c r="B483" s="14" t="s">
        <v>419</v>
      </c>
      <c r="C483" s="10">
        <v>250</v>
      </c>
      <c r="D483" s="11">
        <v>250</v>
      </c>
      <c r="E483" s="11">
        <v>250</v>
      </c>
      <c r="F483" s="11"/>
      <c r="G483" s="11">
        <f>E483-F483</f>
        <v>250</v>
      </c>
      <c r="H483" s="15">
        <f>G483/E483</f>
        <v>1</v>
      </c>
    </row>
    <row r="484" spans="1:8" ht="13.5" thickBot="1">
      <c r="A484" s="13" t="s">
        <v>709</v>
      </c>
      <c r="B484" s="14" t="s">
        <v>420</v>
      </c>
      <c r="C484" s="10">
        <v>180</v>
      </c>
      <c r="D484" s="11">
        <v>180</v>
      </c>
      <c r="E484" s="11">
        <v>180</v>
      </c>
      <c r="F484" s="11"/>
      <c r="G484" s="11">
        <f>E484-F484</f>
        <v>180</v>
      </c>
      <c r="H484" s="15">
        <f>G484/E484</f>
        <v>1</v>
      </c>
    </row>
    <row r="485" spans="1:8">
      <c r="A485" s="16"/>
      <c r="B485" s="17" t="s">
        <v>717</v>
      </c>
      <c r="C485" s="18">
        <f>SUM(C478:C484)</f>
        <v>498</v>
      </c>
      <c r="D485" s="18">
        <f>SUM(D478:D484)</f>
        <v>498</v>
      </c>
      <c r="E485" s="18">
        <f>SUM(E478:E484)</f>
        <v>498</v>
      </c>
      <c r="F485" s="18">
        <f>SUM(F478:F481)</f>
        <v>0</v>
      </c>
      <c r="G485" s="18">
        <f>SUM(G478:G481)</f>
        <v>68</v>
      </c>
      <c r="H485" s="36">
        <f>G485/E485</f>
        <v>0.13654618473895583</v>
      </c>
    </row>
    <row r="486" spans="1:8">
      <c r="A486" s="19"/>
      <c r="B486" s="20" t="s">
        <v>718</v>
      </c>
      <c r="C486" s="21"/>
      <c r="D486" s="22"/>
      <c r="E486" s="22"/>
      <c r="F486" s="23"/>
      <c r="G486" s="24"/>
      <c r="H486" s="25"/>
    </row>
    <row r="487" spans="1:8" ht="13.5" thickBot="1">
      <c r="A487" s="26"/>
      <c r="B487" s="27" t="s">
        <v>719</v>
      </c>
      <c r="C487" s="28"/>
      <c r="D487" s="29"/>
      <c r="E487" s="29"/>
      <c r="F487" s="28"/>
      <c r="G487" s="30"/>
      <c r="H487" s="31"/>
    </row>
    <row r="488" spans="1:8">
      <c r="A488" s="224" t="s">
        <v>421</v>
      </c>
      <c r="B488" s="224"/>
      <c r="C488" s="224"/>
      <c r="D488" s="224"/>
      <c r="E488" s="224"/>
      <c r="F488" s="224"/>
      <c r="G488" s="224"/>
      <c r="H488" s="225"/>
    </row>
    <row r="489" spans="1:8" ht="13.5" thickBot="1">
      <c r="A489" s="3"/>
      <c r="B489" s="4" t="s">
        <v>699</v>
      </c>
      <c r="C489" s="5" t="s">
        <v>700</v>
      </c>
      <c r="D489" s="6" t="s">
        <v>701</v>
      </c>
      <c r="E489" s="6" t="s">
        <v>702</v>
      </c>
      <c r="F489" s="6" t="s">
        <v>703</v>
      </c>
      <c r="G489" s="6" t="s">
        <v>704</v>
      </c>
      <c r="H489" s="7" t="s">
        <v>705</v>
      </c>
    </row>
    <row r="490" spans="1:8">
      <c r="A490" s="8">
        <v>1</v>
      </c>
      <c r="B490" s="9" t="s">
        <v>422</v>
      </c>
      <c r="C490" s="10"/>
      <c r="D490" s="11"/>
      <c r="E490" s="11"/>
      <c r="F490" s="11"/>
      <c r="G490" s="11"/>
      <c r="H490" s="12"/>
    </row>
    <row r="491" spans="1:8">
      <c r="A491" s="13" t="s">
        <v>706</v>
      </c>
      <c r="B491" s="14" t="s">
        <v>708</v>
      </c>
      <c r="C491" s="10">
        <v>9</v>
      </c>
      <c r="D491" s="11">
        <v>9</v>
      </c>
      <c r="E491" s="11">
        <v>9</v>
      </c>
      <c r="F491" s="11"/>
      <c r="G491" s="11">
        <f>E491-F491</f>
        <v>9</v>
      </c>
      <c r="H491" s="15">
        <f>G491/E491</f>
        <v>1</v>
      </c>
    </row>
    <row r="492" spans="1:8">
      <c r="A492" s="8">
        <v>2</v>
      </c>
      <c r="B492" s="9" t="s">
        <v>423</v>
      </c>
      <c r="C492" s="10"/>
      <c r="D492" s="11"/>
      <c r="E492" s="11"/>
      <c r="F492" s="11"/>
      <c r="G492" s="11"/>
      <c r="H492" s="15"/>
    </row>
    <row r="493" spans="1:8">
      <c r="A493" s="13" t="s">
        <v>706</v>
      </c>
      <c r="B493" s="14" t="s">
        <v>708</v>
      </c>
      <c r="C493" s="10">
        <v>9</v>
      </c>
      <c r="D493" s="11">
        <v>9</v>
      </c>
      <c r="E493" s="11">
        <v>9</v>
      </c>
      <c r="F493" s="11"/>
      <c r="G493" s="11">
        <f t="shared" ref="G493:G499" si="28">E493-F493</f>
        <v>9</v>
      </c>
      <c r="H493" s="15">
        <f t="shared" ref="H493:H500" si="29">G493/E493</f>
        <v>1</v>
      </c>
    </row>
    <row r="494" spans="1:8">
      <c r="A494" s="13" t="s">
        <v>709</v>
      </c>
      <c r="B494" s="14" t="s">
        <v>424</v>
      </c>
      <c r="C494" s="10">
        <v>15</v>
      </c>
      <c r="D494" s="11">
        <v>15</v>
      </c>
      <c r="E494" s="11">
        <v>15</v>
      </c>
      <c r="F494" s="11">
        <f>12</f>
        <v>12</v>
      </c>
      <c r="G494" s="11">
        <f t="shared" si="28"/>
        <v>3</v>
      </c>
      <c r="H494" s="15">
        <f t="shared" si="29"/>
        <v>0.2</v>
      </c>
    </row>
    <row r="495" spans="1:8">
      <c r="A495" s="13" t="s">
        <v>710</v>
      </c>
      <c r="B495" s="14" t="s">
        <v>425</v>
      </c>
      <c r="C495" s="10">
        <v>20</v>
      </c>
      <c r="D495" s="11">
        <v>20</v>
      </c>
      <c r="E495" s="11">
        <v>20</v>
      </c>
      <c r="F495" s="11"/>
      <c r="G495" s="11">
        <f t="shared" si="28"/>
        <v>20</v>
      </c>
      <c r="H495" s="15">
        <f t="shared" si="29"/>
        <v>1</v>
      </c>
    </row>
    <row r="496" spans="1:8">
      <c r="A496" s="13" t="s">
        <v>712</v>
      </c>
      <c r="B496" s="14" t="s">
        <v>426</v>
      </c>
      <c r="C496" s="10">
        <v>125</v>
      </c>
      <c r="D496" s="11">
        <v>125</v>
      </c>
      <c r="E496" s="11">
        <v>125</v>
      </c>
      <c r="F496" s="11"/>
      <c r="G496" s="11">
        <f t="shared" si="28"/>
        <v>125</v>
      </c>
      <c r="H496" s="15">
        <f t="shared" si="29"/>
        <v>1</v>
      </c>
    </row>
    <row r="497" spans="1:8">
      <c r="A497" s="13" t="s">
        <v>713</v>
      </c>
      <c r="B497" s="14" t="s">
        <v>427</v>
      </c>
      <c r="C497" s="10">
        <v>50</v>
      </c>
      <c r="D497" s="11">
        <v>50</v>
      </c>
      <c r="E497" s="11">
        <v>50</v>
      </c>
      <c r="F497" s="11"/>
      <c r="G497" s="11">
        <f t="shared" si="28"/>
        <v>50</v>
      </c>
      <c r="H497" s="15">
        <f t="shared" si="29"/>
        <v>1</v>
      </c>
    </row>
    <row r="498" spans="1:8">
      <c r="A498" s="13" t="s">
        <v>714</v>
      </c>
      <c r="B498" s="14" t="s">
        <v>428</v>
      </c>
      <c r="C498" s="10">
        <v>50</v>
      </c>
      <c r="D498" s="11">
        <v>50</v>
      </c>
      <c r="E498" s="11">
        <v>50</v>
      </c>
      <c r="F498" s="11"/>
      <c r="G498" s="11">
        <f t="shared" si="28"/>
        <v>50</v>
      </c>
      <c r="H498" s="15">
        <f t="shared" si="29"/>
        <v>1</v>
      </c>
    </row>
    <row r="499" spans="1:8" ht="13.5" thickBot="1">
      <c r="A499" s="13" t="s">
        <v>715</v>
      </c>
      <c r="B499" s="14" t="s">
        <v>749</v>
      </c>
      <c r="C499" s="10">
        <v>850</v>
      </c>
      <c r="D499" s="11" t="s">
        <v>491</v>
      </c>
      <c r="E499" s="11" t="s">
        <v>491</v>
      </c>
      <c r="F499" s="11"/>
      <c r="G499" s="11" t="e">
        <f t="shared" si="28"/>
        <v>#VALUE!</v>
      </c>
      <c r="H499" s="15" t="e">
        <f t="shared" si="29"/>
        <v>#VALUE!</v>
      </c>
    </row>
    <row r="500" spans="1:8">
      <c r="A500" s="16"/>
      <c r="B500" s="17" t="s">
        <v>717</v>
      </c>
      <c r="C500" s="18">
        <f>SUM(C491:C499)</f>
        <v>1128</v>
      </c>
      <c r="D500" s="18">
        <f>SUM(D491:D499)</f>
        <v>278</v>
      </c>
      <c r="E500" s="18">
        <f>SUM(E491:E499)</f>
        <v>278</v>
      </c>
      <c r="F500" s="18">
        <f>SUM(F491:F493)</f>
        <v>0</v>
      </c>
      <c r="G500" s="18">
        <f>SUM(G491:G493)</f>
        <v>18</v>
      </c>
      <c r="H500" s="36">
        <f t="shared" si="29"/>
        <v>6.4748201438848921E-2</v>
      </c>
    </row>
    <row r="501" spans="1:8">
      <c r="A501" s="19"/>
      <c r="B501" s="20" t="s">
        <v>718</v>
      </c>
      <c r="C501" s="21"/>
      <c r="D501" s="22"/>
      <c r="E501" s="22"/>
      <c r="F501" s="23"/>
      <c r="G501" s="24"/>
      <c r="H501" s="25"/>
    </row>
    <row r="502" spans="1:8" ht="13.5" thickBot="1">
      <c r="A502" s="26"/>
      <c r="B502" s="27" t="s">
        <v>719</v>
      </c>
      <c r="C502" s="28"/>
      <c r="D502" s="29"/>
      <c r="E502" s="29"/>
      <c r="F502" s="28"/>
      <c r="G502" s="30"/>
      <c r="H502" s="31"/>
    </row>
    <row r="503" spans="1:8">
      <c r="A503" s="224" t="s">
        <v>429</v>
      </c>
      <c r="B503" s="224"/>
      <c r="C503" s="224"/>
      <c r="D503" s="224"/>
      <c r="E503" s="224"/>
      <c r="F503" s="224"/>
      <c r="G503" s="224"/>
      <c r="H503" s="225"/>
    </row>
    <row r="504" spans="1:8" ht="13.5" thickBot="1">
      <c r="A504" s="3"/>
      <c r="B504" s="4" t="s">
        <v>699</v>
      </c>
      <c r="C504" s="5" t="s">
        <v>700</v>
      </c>
      <c r="D504" s="6" t="s">
        <v>701</v>
      </c>
      <c r="E504" s="6" t="s">
        <v>702</v>
      </c>
      <c r="F504" s="6" t="s">
        <v>703</v>
      </c>
      <c r="G504" s="6" t="s">
        <v>704</v>
      </c>
      <c r="H504" s="7" t="s">
        <v>705</v>
      </c>
    </row>
    <row r="505" spans="1:8">
      <c r="A505" s="8">
        <v>1</v>
      </c>
      <c r="B505" s="9" t="s">
        <v>430</v>
      </c>
      <c r="C505" s="10"/>
      <c r="D505" s="11"/>
      <c r="E505" s="11"/>
      <c r="F505" s="11"/>
      <c r="G505" s="11"/>
      <c r="H505" s="12"/>
    </row>
    <row r="506" spans="1:8">
      <c r="A506" s="13" t="s">
        <v>706</v>
      </c>
      <c r="B506" s="14" t="s">
        <v>431</v>
      </c>
      <c r="C506" s="10">
        <v>5500</v>
      </c>
      <c r="D506" s="11">
        <v>5500</v>
      </c>
      <c r="E506" s="11">
        <v>5500</v>
      </c>
      <c r="F506" s="11">
        <f>540+580+2500+240</f>
        <v>3860</v>
      </c>
      <c r="G506" s="11">
        <f>E506-F506</f>
        <v>1640</v>
      </c>
      <c r="H506" s="15">
        <f>G506/E506</f>
        <v>0.29818181818181816</v>
      </c>
    </row>
    <row r="507" spans="1:8">
      <c r="A507" s="13" t="s">
        <v>709</v>
      </c>
      <c r="B507" s="14" t="s">
        <v>432</v>
      </c>
      <c r="C507" s="10">
        <v>700</v>
      </c>
      <c r="D507" s="11">
        <v>700</v>
      </c>
      <c r="E507" s="11">
        <v>700</v>
      </c>
      <c r="F507" s="11"/>
      <c r="G507" s="11">
        <f>E507-F507</f>
        <v>700</v>
      </c>
      <c r="H507" s="15">
        <f>G507/E507</f>
        <v>1</v>
      </c>
    </row>
    <row r="508" spans="1:8">
      <c r="A508" s="13" t="s">
        <v>710</v>
      </c>
      <c r="B508" s="14" t="s">
        <v>433</v>
      </c>
      <c r="C508" s="10">
        <v>1000</v>
      </c>
      <c r="D508" s="11">
        <v>0</v>
      </c>
      <c r="E508" s="11">
        <v>0</v>
      </c>
      <c r="F508" s="11"/>
      <c r="G508" s="11">
        <f>E508-F508</f>
        <v>0</v>
      </c>
      <c r="H508" s="15" t="e">
        <f>G508/E508</f>
        <v>#DIV/0!</v>
      </c>
    </row>
    <row r="509" spans="1:8">
      <c r="A509" s="13" t="s">
        <v>712</v>
      </c>
      <c r="B509" s="14" t="s">
        <v>434</v>
      </c>
      <c r="C509" s="10">
        <v>17.5</v>
      </c>
      <c r="D509" s="11">
        <v>0</v>
      </c>
      <c r="E509" s="11">
        <v>0</v>
      </c>
      <c r="F509" s="11"/>
      <c r="G509" s="11">
        <f>E509-F509</f>
        <v>0</v>
      </c>
      <c r="H509" s="15" t="e">
        <f>G509/E509</f>
        <v>#DIV/0!</v>
      </c>
    </row>
    <row r="510" spans="1:8">
      <c r="A510" s="8">
        <v>2</v>
      </c>
      <c r="B510" s="9" t="s">
        <v>687</v>
      </c>
      <c r="C510" s="10"/>
      <c r="D510" s="11"/>
      <c r="E510" s="11"/>
      <c r="F510" s="11"/>
      <c r="G510" s="11"/>
      <c r="H510" s="12"/>
    </row>
    <row r="511" spans="1:8">
      <c r="A511" s="13" t="s">
        <v>706</v>
      </c>
      <c r="B511" s="14" t="s">
        <v>435</v>
      </c>
      <c r="C511" s="10">
        <v>2000</v>
      </c>
      <c r="D511" s="11">
        <v>0</v>
      </c>
      <c r="E511" s="11">
        <v>0</v>
      </c>
      <c r="F511" s="11"/>
      <c r="G511" s="11">
        <f>E511-F511</f>
        <v>0</v>
      </c>
      <c r="H511" s="15" t="e">
        <f>G511/E511</f>
        <v>#DIV/0!</v>
      </c>
    </row>
    <row r="512" spans="1:8">
      <c r="A512" s="8">
        <v>3</v>
      </c>
      <c r="B512" s="9" t="s">
        <v>632</v>
      </c>
      <c r="C512" s="10"/>
      <c r="D512" s="11"/>
      <c r="E512" s="11"/>
      <c r="F512" s="11"/>
      <c r="G512" s="11"/>
      <c r="H512" s="12"/>
    </row>
    <row r="513" spans="1:8" ht="13.5" thickBot="1">
      <c r="A513" s="13" t="s">
        <v>706</v>
      </c>
      <c r="B513" s="14" t="s">
        <v>436</v>
      </c>
      <c r="C513" s="10">
        <v>100</v>
      </c>
      <c r="D513" s="11">
        <v>100</v>
      </c>
      <c r="E513" s="11">
        <v>100</v>
      </c>
      <c r="F513" s="11"/>
      <c r="G513" s="11">
        <f>E513-F513</f>
        <v>100</v>
      </c>
      <c r="H513" s="15">
        <f>G513/E513</f>
        <v>1</v>
      </c>
    </row>
    <row r="514" spans="1:8">
      <c r="A514" s="16"/>
      <c r="B514" s="17" t="s">
        <v>717</v>
      </c>
      <c r="C514" s="18">
        <f>SUM(C506:C513)</f>
        <v>9317.5</v>
      </c>
      <c r="D514" s="18">
        <f>SUM(D506:D513)</f>
        <v>6300</v>
      </c>
      <c r="E514" s="18">
        <f>SUM(E506:E513)</f>
        <v>6300</v>
      </c>
      <c r="F514" s="18">
        <f>SUM(F506:F507)</f>
        <v>3860</v>
      </c>
      <c r="G514" s="18">
        <f>SUM(G506:G507)</f>
        <v>2340</v>
      </c>
      <c r="H514" s="36">
        <f>G514/E514</f>
        <v>0.37142857142857144</v>
      </c>
    </row>
    <row r="515" spans="1:8">
      <c r="A515" s="19"/>
      <c r="B515" s="20" t="s">
        <v>718</v>
      </c>
      <c r="C515" s="21"/>
      <c r="D515" s="22"/>
      <c r="E515" s="22"/>
      <c r="F515" s="23"/>
      <c r="G515" s="24"/>
      <c r="H515" s="25"/>
    </row>
    <row r="516" spans="1:8" ht="13.5" thickBot="1">
      <c r="A516" s="26"/>
      <c r="B516" s="27" t="s">
        <v>719</v>
      </c>
      <c r="C516" s="28"/>
      <c r="D516" s="29"/>
      <c r="E516" s="29"/>
      <c r="F516" s="28"/>
      <c r="G516" s="30"/>
      <c r="H516" s="31"/>
    </row>
    <row r="517" spans="1:8">
      <c r="A517" s="224" t="s">
        <v>437</v>
      </c>
      <c r="B517" s="224"/>
      <c r="C517" s="224"/>
      <c r="D517" s="224"/>
      <c r="E517" s="224"/>
      <c r="F517" s="224"/>
      <c r="G517" s="224"/>
      <c r="H517" s="225"/>
    </row>
    <row r="518" spans="1:8" ht="13.5" thickBot="1">
      <c r="A518" s="3"/>
      <c r="B518" s="4" t="s">
        <v>699</v>
      </c>
      <c r="C518" s="5" t="s">
        <v>700</v>
      </c>
      <c r="D518" s="6" t="s">
        <v>701</v>
      </c>
      <c r="E518" s="6" t="s">
        <v>702</v>
      </c>
      <c r="F518" s="6" t="s">
        <v>703</v>
      </c>
      <c r="G518" s="6" t="s">
        <v>704</v>
      </c>
      <c r="H518" s="7" t="s">
        <v>705</v>
      </c>
    </row>
    <row r="519" spans="1:8">
      <c r="A519" s="8">
        <v>1</v>
      </c>
      <c r="B519" s="9" t="s">
        <v>438</v>
      </c>
      <c r="C519" s="10"/>
      <c r="D519" s="11"/>
      <c r="E519" s="11"/>
      <c r="F519" s="11"/>
      <c r="G519" s="11"/>
      <c r="H519" s="12"/>
    </row>
    <row r="520" spans="1:8">
      <c r="A520" s="13" t="s">
        <v>706</v>
      </c>
      <c r="B520" s="14" t="s">
        <v>439</v>
      </c>
      <c r="C520" s="10">
        <v>3229</v>
      </c>
      <c r="D520" s="11">
        <v>3229</v>
      </c>
      <c r="E520" s="11">
        <v>3229</v>
      </c>
      <c r="F520" s="11"/>
      <c r="G520" s="11">
        <f>E520-F520</f>
        <v>3229</v>
      </c>
      <c r="H520" s="15">
        <f>G520/E520</f>
        <v>1</v>
      </c>
    </row>
    <row r="521" spans="1:8">
      <c r="A521" s="8">
        <v>2</v>
      </c>
      <c r="B521" s="9" t="s">
        <v>690</v>
      </c>
      <c r="C521" s="10"/>
      <c r="D521" s="11"/>
      <c r="E521" s="11"/>
      <c r="F521" s="11"/>
      <c r="G521" s="11"/>
      <c r="H521" s="12"/>
    </row>
    <row r="522" spans="1:8">
      <c r="A522" s="13" t="s">
        <v>706</v>
      </c>
      <c r="B522" s="14" t="s">
        <v>440</v>
      </c>
      <c r="C522" s="10">
        <v>160</v>
      </c>
      <c r="D522" s="11">
        <v>160</v>
      </c>
      <c r="E522" s="11">
        <v>160</v>
      </c>
      <c r="F522" s="11"/>
      <c r="G522" s="11">
        <f>E522-F522</f>
        <v>160</v>
      </c>
      <c r="H522" s="15">
        <f>G522/E522</f>
        <v>1</v>
      </c>
    </row>
    <row r="523" spans="1:8" ht="25.5">
      <c r="A523" s="13" t="s">
        <v>709</v>
      </c>
      <c r="B523" s="14" t="s">
        <v>441</v>
      </c>
      <c r="C523" s="10">
        <v>300</v>
      </c>
      <c r="D523" s="11">
        <v>300</v>
      </c>
      <c r="E523" s="11">
        <v>300</v>
      </c>
      <c r="F523" s="11"/>
      <c r="G523" s="11">
        <f>E523-F523</f>
        <v>300</v>
      </c>
      <c r="H523" s="15">
        <f>G523/E523</f>
        <v>1</v>
      </c>
    </row>
    <row r="524" spans="1:8" ht="13.5" thickBot="1">
      <c r="A524" s="13" t="s">
        <v>710</v>
      </c>
      <c r="B524" s="14" t="s">
        <v>442</v>
      </c>
      <c r="C524" s="10">
        <v>300</v>
      </c>
      <c r="D524" s="11">
        <v>300</v>
      </c>
      <c r="E524" s="11">
        <v>300</v>
      </c>
      <c r="F524" s="11"/>
      <c r="G524" s="11">
        <f>E524-F524</f>
        <v>300</v>
      </c>
      <c r="H524" s="15">
        <f>G524/E524</f>
        <v>1</v>
      </c>
    </row>
    <row r="525" spans="1:8">
      <c r="A525" s="16"/>
      <c r="B525" s="17" t="s">
        <v>717</v>
      </c>
      <c r="C525" s="18">
        <f>SUM(C520:C524)</f>
        <v>3989</v>
      </c>
      <c r="D525" s="18">
        <f>SUM(D520:D524)</f>
        <v>3989</v>
      </c>
      <c r="E525" s="18">
        <f>SUM(E520:E524)</f>
        <v>3989</v>
      </c>
      <c r="F525" s="18">
        <f>SUM(F520:F520)</f>
        <v>0</v>
      </c>
      <c r="G525" s="18">
        <f>SUM(G520:G520)</f>
        <v>3229</v>
      </c>
      <c r="H525" s="36">
        <f>G525/E525</f>
        <v>0.80947605916269738</v>
      </c>
    </row>
    <row r="526" spans="1:8">
      <c r="A526" s="19"/>
      <c r="B526" s="20" t="s">
        <v>718</v>
      </c>
      <c r="C526" s="21"/>
      <c r="D526" s="22"/>
      <c r="E526" s="22"/>
      <c r="F526" s="23"/>
      <c r="G526" s="24"/>
      <c r="H526" s="25"/>
    </row>
    <row r="527" spans="1:8" ht="13.5" thickBot="1">
      <c r="A527" s="26"/>
      <c r="B527" s="27" t="s">
        <v>719</v>
      </c>
      <c r="C527" s="28"/>
      <c r="D527" s="29"/>
      <c r="E527" s="29"/>
      <c r="F527" s="28"/>
      <c r="G527" s="30"/>
      <c r="H527" s="31"/>
    </row>
    <row r="528" spans="1:8">
      <c r="A528" s="224" t="s">
        <v>443</v>
      </c>
      <c r="B528" s="224"/>
      <c r="C528" s="224"/>
      <c r="D528" s="224"/>
      <c r="E528" s="224"/>
      <c r="F528" s="224"/>
      <c r="G528" s="224"/>
      <c r="H528" s="225"/>
    </row>
    <row r="529" spans="1:8" ht="13.5" thickBot="1">
      <c r="A529" s="3"/>
      <c r="B529" s="4" t="s">
        <v>699</v>
      </c>
      <c r="C529" s="5" t="s">
        <v>700</v>
      </c>
      <c r="D529" s="6" t="s">
        <v>701</v>
      </c>
      <c r="E529" s="6" t="s">
        <v>702</v>
      </c>
      <c r="F529" s="6" t="s">
        <v>703</v>
      </c>
      <c r="G529" s="6" t="s">
        <v>704</v>
      </c>
      <c r="H529" s="7" t="s">
        <v>705</v>
      </c>
    </row>
    <row r="530" spans="1:8">
      <c r="A530" s="8">
        <v>1</v>
      </c>
      <c r="B530" s="9" t="s">
        <v>686</v>
      </c>
      <c r="C530" s="10"/>
      <c r="D530" s="11"/>
      <c r="E530" s="11"/>
      <c r="F530" s="11"/>
      <c r="G530" s="11"/>
      <c r="H530" s="12"/>
    </row>
    <row r="531" spans="1:8">
      <c r="A531" s="13" t="s">
        <v>706</v>
      </c>
      <c r="B531" s="14" t="s">
        <v>708</v>
      </c>
      <c r="C531" s="10">
        <v>9</v>
      </c>
      <c r="D531" s="11">
        <v>9</v>
      </c>
      <c r="E531" s="11">
        <v>9</v>
      </c>
      <c r="F531" s="11"/>
      <c r="G531" s="11">
        <f>E531-F531</f>
        <v>9</v>
      </c>
      <c r="H531" s="15">
        <f>G531/E531</f>
        <v>1</v>
      </c>
    </row>
    <row r="532" spans="1:8" ht="13.5" thickBot="1">
      <c r="A532" s="13" t="s">
        <v>710</v>
      </c>
      <c r="B532" s="14" t="s">
        <v>711</v>
      </c>
      <c r="C532" s="10">
        <v>50</v>
      </c>
      <c r="D532" s="11">
        <v>50</v>
      </c>
      <c r="E532" s="11">
        <v>50</v>
      </c>
      <c r="F532" s="11"/>
      <c r="G532" s="11">
        <f>E532-F532</f>
        <v>50</v>
      </c>
      <c r="H532" s="15">
        <f>G532/E532</f>
        <v>1</v>
      </c>
    </row>
    <row r="533" spans="1:8">
      <c r="A533" s="16"/>
      <c r="B533" s="17" t="s">
        <v>717</v>
      </c>
      <c r="C533" s="18">
        <f>SUM(C531:C532)</f>
        <v>59</v>
      </c>
      <c r="D533" s="18">
        <f>SUM(D531:D532)</f>
        <v>59</v>
      </c>
      <c r="E533" s="18">
        <f>SUM(E531:E532)</f>
        <v>59</v>
      </c>
      <c r="F533" s="18">
        <f>SUM(F531:F531)</f>
        <v>0</v>
      </c>
      <c r="G533" s="18">
        <f>SUM(G531:G531)</f>
        <v>9</v>
      </c>
      <c r="H533" s="36">
        <f>G533/E533</f>
        <v>0.15254237288135594</v>
      </c>
    </row>
    <row r="534" spans="1:8">
      <c r="A534" s="19"/>
      <c r="B534" s="20" t="s">
        <v>718</v>
      </c>
      <c r="C534" s="21"/>
      <c r="D534" s="22"/>
      <c r="E534" s="22"/>
      <c r="F534" s="23"/>
      <c r="G534" s="24"/>
      <c r="H534" s="25"/>
    </row>
    <row r="535" spans="1:8" ht="13.5" thickBot="1">
      <c r="A535" s="26"/>
      <c r="B535" s="27" t="s">
        <v>719</v>
      </c>
      <c r="C535" s="28"/>
      <c r="D535" s="29"/>
      <c r="E535" s="29"/>
      <c r="F535" s="28"/>
      <c r="G535" s="30"/>
      <c r="H535" s="31"/>
    </row>
    <row r="536" spans="1:8">
      <c r="A536" s="224" t="s">
        <v>415</v>
      </c>
      <c r="B536" s="224"/>
      <c r="C536" s="224"/>
      <c r="D536" s="224"/>
      <c r="E536" s="224"/>
      <c r="F536" s="224"/>
      <c r="G536" s="224"/>
      <c r="H536" s="225"/>
    </row>
    <row r="537" spans="1:8" ht="13.5" thickBot="1">
      <c r="A537" s="3"/>
      <c r="B537" s="4" t="s">
        <v>699</v>
      </c>
      <c r="C537" s="5" t="s">
        <v>700</v>
      </c>
      <c r="D537" s="6" t="s">
        <v>701</v>
      </c>
      <c r="E537" s="6" t="s">
        <v>702</v>
      </c>
      <c r="F537" s="6" t="s">
        <v>703</v>
      </c>
      <c r="G537" s="6" t="s">
        <v>704</v>
      </c>
      <c r="H537" s="7" t="s">
        <v>705</v>
      </c>
    </row>
    <row r="538" spans="1:8">
      <c r="A538" s="8">
        <v>1</v>
      </c>
      <c r="B538" s="9" t="s">
        <v>534</v>
      </c>
      <c r="C538" s="10"/>
      <c r="D538" s="11"/>
      <c r="E538" s="11"/>
      <c r="F538" s="11"/>
      <c r="G538" s="11"/>
      <c r="H538" s="12"/>
    </row>
    <row r="539" spans="1:8">
      <c r="A539" s="13" t="s">
        <v>706</v>
      </c>
      <c r="B539" s="14" t="s">
        <v>708</v>
      </c>
      <c r="C539" s="10">
        <v>9</v>
      </c>
      <c r="D539" s="11">
        <v>9</v>
      </c>
      <c r="E539" s="11">
        <v>9</v>
      </c>
      <c r="F539" s="11">
        <f>5.1</f>
        <v>5.0999999999999996</v>
      </c>
      <c r="G539" s="11">
        <f>E539-F539</f>
        <v>3.9000000000000004</v>
      </c>
      <c r="H539" s="15">
        <f>G539/E539</f>
        <v>0.43333333333333335</v>
      </c>
    </row>
    <row r="540" spans="1:8" ht="12.95" customHeight="1">
      <c r="A540" s="13" t="s">
        <v>709</v>
      </c>
      <c r="B540" s="14" t="s">
        <v>711</v>
      </c>
      <c r="C540" s="10">
        <v>50</v>
      </c>
      <c r="D540" s="11">
        <v>50</v>
      </c>
      <c r="E540" s="11">
        <v>50</v>
      </c>
      <c r="F540" s="11"/>
      <c r="G540" s="11">
        <f>E540-F540</f>
        <v>50</v>
      </c>
      <c r="H540" s="15">
        <f>G540/E540</f>
        <v>1</v>
      </c>
    </row>
    <row r="541" spans="1:8">
      <c r="A541" s="8">
        <v>2</v>
      </c>
      <c r="B541" s="9" t="s">
        <v>761</v>
      </c>
      <c r="C541" s="10"/>
      <c r="D541" s="11"/>
      <c r="E541" s="11"/>
      <c r="F541" s="11"/>
      <c r="G541" s="11"/>
      <c r="H541" s="12"/>
    </row>
    <row r="542" spans="1:8">
      <c r="A542" s="13" t="s">
        <v>706</v>
      </c>
      <c r="B542" s="14" t="s">
        <v>444</v>
      </c>
      <c r="C542" s="10">
        <v>225</v>
      </c>
      <c r="D542" s="11">
        <v>225</v>
      </c>
      <c r="E542" s="11">
        <v>225</v>
      </c>
      <c r="F542" s="11"/>
      <c r="G542" s="11">
        <f>E542-F542</f>
        <v>225</v>
      </c>
      <c r="H542" s="15">
        <f>G542/E542</f>
        <v>1</v>
      </c>
    </row>
    <row r="543" spans="1:8">
      <c r="A543" s="13" t="s">
        <v>709</v>
      </c>
      <c r="B543" s="14" t="s">
        <v>445</v>
      </c>
      <c r="C543" s="10">
        <v>300</v>
      </c>
      <c r="D543" s="11">
        <v>300</v>
      </c>
      <c r="E543" s="11">
        <v>300</v>
      </c>
      <c r="F543" s="11">
        <f>91.3+17.64</f>
        <v>108.94</v>
      </c>
      <c r="G543" s="11">
        <f>E543-F543</f>
        <v>191.06</v>
      </c>
      <c r="H543" s="15">
        <f>G543/E543</f>
        <v>0.63686666666666669</v>
      </c>
    </row>
    <row r="544" spans="1:8">
      <c r="A544" s="13" t="s">
        <v>710</v>
      </c>
      <c r="B544" s="14" t="s">
        <v>446</v>
      </c>
      <c r="C544" s="10">
        <v>200</v>
      </c>
      <c r="D544" s="11">
        <v>200</v>
      </c>
      <c r="E544" s="11">
        <v>200</v>
      </c>
      <c r="F544" s="11"/>
      <c r="G544" s="11">
        <f>E544-F544</f>
        <v>200</v>
      </c>
      <c r="H544" s="15">
        <f>G544/E544</f>
        <v>1</v>
      </c>
    </row>
    <row r="545" spans="1:9" ht="25.5">
      <c r="A545" s="13" t="s">
        <v>712</v>
      </c>
      <c r="B545" s="14" t="s">
        <v>447</v>
      </c>
      <c r="C545" s="10">
        <v>25</v>
      </c>
      <c r="D545" s="11">
        <v>25</v>
      </c>
      <c r="E545" s="11">
        <v>25</v>
      </c>
      <c r="F545" s="11">
        <f>25</f>
        <v>25</v>
      </c>
      <c r="G545" s="11">
        <f>E545-F545</f>
        <v>0</v>
      </c>
      <c r="H545" s="15">
        <f>G545/E545</f>
        <v>0</v>
      </c>
    </row>
    <row r="546" spans="1:9">
      <c r="A546" s="8">
        <v>3</v>
      </c>
      <c r="B546" s="9" t="s">
        <v>448</v>
      </c>
      <c r="C546" s="10"/>
      <c r="D546" s="11"/>
      <c r="E546" s="11"/>
      <c r="F546" s="11"/>
      <c r="G546" s="11"/>
      <c r="H546" s="12"/>
    </row>
    <row r="547" spans="1:9" ht="25.5">
      <c r="A547" s="13" t="s">
        <v>706</v>
      </c>
      <c r="B547" s="14" t="s">
        <v>449</v>
      </c>
      <c r="C547" s="10">
        <v>350</v>
      </c>
      <c r="D547" s="11">
        <v>350</v>
      </c>
      <c r="E547" s="11">
        <v>350</v>
      </c>
      <c r="F547" s="11"/>
      <c r="G547" s="11">
        <f>E547-F547</f>
        <v>350</v>
      </c>
      <c r="H547" s="15">
        <f t="shared" ref="H547:H552" si="30">G547/E547</f>
        <v>1</v>
      </c>
    </row>
    <row r="548" spans="1:9">
      <c r="A548" s="13" t="s">
        <v>709</v>
      </c>
      <c r="B548" s="14" t="s">
        <v>450</v>
      </c>
      <c r="C548" s="10">
        <v>225</v>
      </c>
      <c r="D548" s="11">
        <v>225</v>
      </c>
      <c r="E548" s="11">
        <v>225</v>
      </c>
      <c r="F548" s="11"/>
      <c r="G548" s="11">
        <f>E548-F548</f>
        <v>225</v>
      </c>
      <c r="H548" s="15">
        <f t="shared" si="30"/>
        <v>1</v>
      </c>
    </row>
    <row r="549" spans="1:9">
      <c r="A549" s="13" t="s">
        <v>710</v>
      </c>
      <c r="B549" s="14" t="s">
        <v>451</v>
      </c>
      <c r="C549" s="10">
        <v>200</v>
      </c>
      <c r="D549" s="11">
        <v>200</v>
      </c>
      <c r="E549" s="11">
        <v>200</v>
      </c>
      <c r="F549" s="11"/>
      <c r="G549" s="11">
        <f>E549-F549</f>
        <v>200</v>
      </c>
      <c r="H549" s="15">
        <f t="shared" si="30"/>
        <v>1</v>
      </c>
    </row>
    <row r="550" spans="1:9">
      <c r="A550" s="13" t="s">
        <v>712</v>
      </c>
      <c r="B550" s="14" t="s">
        <v>452</v>
      </c>
      <c r="C550" s="10">
        <v>400</v>
      </c>
      <c r="D550" s="11">
        <v>400</v>
      </c>
      <c r="E550" s="11">
        <v>400</v>
      </c>
      <c r="F550" s="11"/>
      <c r="G550" s="11">
        <f>E550-F550</f>
        <v>400</v>
      </c>
      <c r="H550" s="15">
        <f t="shared" si="30"/>
        <v>1</v>
      </c>
      <c r="I550" s="112" t="s">
        <v>406</v>
      </c>
    </row>
    <row r="551" spans="1:9" ht="13.5" thickBot="1">
      <c r="A551" s="13" t="s">
        <v>713</v>
      </c>
      <c r="B551" s="14" t="s">
        <v>453</v>
      </c>
      <c r="C551" s="10">
        <v>350</v>
      </c>
      <c r="D551" s="11">
        <v>350</v>
      </c>
      <c r="E551" s="11">
        <v>350</v>
      </c>
      <c r="F551" s="11"/>
      <c r="G551" s="11">
        <f>E551-F551</f>
        <v>350</v>
      </c>
      <c r="H551" s="15">
        <f t="shared" si="30"/>
        <v>1</v>
      </c>
    </row>
    <row r="552" spans="1:9">
      <c r="A552" s="16"/>
      <c r="B552" s="17" t="s">
        <v>717</v>
      </c>
      <c r="C552" s="18">
        <f>SUM(C539:C551)</f>
        <v>2334</v>
      </c>
      <c r="D552" s="18">
        <f>SUM(D539:D551)</f>
        <v>2334</v>
      </c>
      <c r="E552" s="18">
        <f>SUM(E539:E551)</f>
        <v>2334</v>
      </c>
      <c r="F552" s="18">
        <f>SUM(F539:F540)</f>
        <v>5.0999999999999996</v>
      </c>
      <c r="G552" s="18">
        <f>SUM(G539:G540)</f>
        <v>53.9</v>
      </c>
      <c r="H552" s="36">
        <f t="shared" si="30"/>
        <v>2.3093401885175665E-2</v>
      </c>
    </row>
    <row r="553" spans="1:9">
      <c r="A553" s="19"/>
      <c r="B553" s="20" t="s">
        <v>718</v>
      </c>
      <c r="C553" s="21"/>
      <c r="D553" s="22"/>
      <c r="E553" s="22"/>
      <c r="F553" s="23"/>
      <c r="G553" s="24"/>
      <c r="H553" s="25"/>
    </row>
    <row r="554" spans="1:9" ht="13.5" thickBot="1">
      <c r="A554" s="26"/>
      <c r="B554" s="27" t="s">
        <v>719</v>
      </c>
      <c r="C554" s="28"/>
      <c r="D554" s="29"/>
      <c r="E554" s="29"/>
      <c r="F554" s="28"/>
      <c r="G554" s="30"/>
      <c r="H554" s="31"/>
    </row>
    <row r="555" spans="1:9">
      <c r="A555" s="224" t="s">
        <v>454</v>
      </c>
      <c r="B555" s="224"/>
      <c r="C555" s="224"/>
      <c r="D555" s="224"/>
      <c r="E555" s="224"/>
      <c r="F555" s="224"/>
      <c r="G555" s="224"/>
      <c r="H555" s="225"/>
    </row>
    <row r="556" spans="1:9" ht="13.5" thickBot="1">
      <c r="A556" s="3"/>
      <c r="B556" s="4" t="s">
        <v>699</v>
      </c>
      <c r="C556" s="5" t="s">
        <v>700</v>
      </c>
      <c r="D556" s="6" t="s">
        <v>701</v>
      </c>
      <c r="E556" s="6" t="s">
        <v>702</v>
      </c>
      <c r="F556" s="6" t="s">
        <v>703</v>
      </c>
      <c r="G556" s="6" t="s">
        <v>704</v>
      </c>
      <c r="H556" s="7" t="s">
        <v>705</v>
      </c>
    </row>
    <row r="557" spans="1:9">
      <c r="A557" s="8">
        <v>1</v>
      </c>
      <c r="B557" s="9" t="s">
        <v>455</v>
      </c>
      <c r="C557" s="10"/>
      <c r="D557" s="11"/>
      <c r="E557" s="11"/>
      <c r="F557" s="11"/>
      <c r="G557" s="11"/>
      <c r="H557" s="12"/>
    </row>
    <row r="558" spans="1:9">
      <c r="A558" s="13" t="s">
        <v>706</v>
      </c>
      <c r="B558" s="14" t="s">
        <v>456</v>
      </c>
      <c r="C558" s="10">
        <v>600</v>
      </c>
      <c r="D558" s="11">
        <v>300</v>
      </c>
      <c r="E558" s="11">
        <v>300</v>
      </c>
      <c r="F558" s="11"/>
      <c r="G558" s="11">
        <f>E558-F558</f>
        <v>300</v>
      </c>
      <c r="H558" s="15">
        <f>G558/E558</f>
        <v>1</v>
      </c>
    </row>
    <row r="559" spans="1:9" ht="15.95" customHeight="1">
      <c r="A559" s="13" t="s">
        <v>709</v>
      </c>
      <c r="B559" s="14" t="s">
        <v>515</v>
      </c>
      <c r="C559" s="10">
        <v>100</v>
      </c>
      <c r="D559" s="11">
        <v>100</v>
      </c>
      <c r="E559" s="11">
        <v>100</v>
      </c>
      <c r="F559" s="11"/>
      <c r="G559" s="11">
        <f>E559-F559</f>
        <v>100</v>
      </c>
      <c r="H559" s="15">
        <f>G559/E559</f>
        <v>1</v>
      </c>
    </row>
    <row r="560" spans="1:9">
      <c r="A560" s="13" t="s">
        <v>710</v>
      </c>
      <c r="B560" s="14" t="s">
        <v>516</v>
      </c>
      <c r="C560" s="10">
        <v>50</v>
      </c>
      <c r="D560" s="11">
        <v>50</v>
      </c>
      <c r="E560" s="11">
        <v>50</v>
      </c>
      <c r="F560" s="11"/>
      <c r="G560" s="11">
        <f>E560-F560</f>
        <v>50</v>
      </c>
      <c r="H560" s="15">
        <f>G560/E560</f>
        <v>1</v>
      </c>
    </row>
    <row r="561" spans="1:8">
      <c r="A561" s="13" t="s">
        <v>706</v>
      </c>
      <c r="B561" s="14" t="s">
        <v>457</v>
      </c>
      <c r="C561" s="10">
        <v>100</v>
      </c>
      <c r="D561" s="11">
        <v>100</v>
      </c>
      <c r="E561" s="11">
        <v>100</v>
      </c>
      <c r="F561" s="11"/>
      <c r="G561" s="11">
        <f>E561-F561</f>
        <v>100</v>
      </c>
      <c r="H561" s="15">
        <f>G561/E561</f>
        <v>1</v>
      </c>
    </row>
    <row r="562" spans="1:8">
      <c r="A562" s="13" t="s">
        <v>706</v>
      </c>
      <c r="B562" s="14" t="s">
        <v>708</v>
      </c>
      <c r="C562" s="10">
        <v>9</v>
      </c>
      <c r="D562" s="11">
        <v>9</v>
      </c>
      <c r="E562" s="11">
        <v>9</v>
      </c>
      <c r="F562" s="11"/>
      <c r="G562" s="11">
        <f>E562-F562</f>
        <v>9</v>
      </c>
      <c r="H562" s="15">
        <f>G562/E562</f>
        <v>1</v>
      </c>
    </row>
    <row r="563" spans="1:8">
      <c r="A563" s="8">
        <v>2</v>
      </c>
      <c r="B563" s="9" t="s">
        <v>438</v>
      </c>
      <c r="C563" s="10"/>
      <c r="D563" s="11"/>
      <c r="E563" s="11"/>
      <c r="F563" s="11"/>
      <c r="G563" s="11"/>
      <c r="H563" s="12"/>
    </row>
    <row r="564" spans="1:8">
      <c r="A564" s="13" t="s">
        <v>706</v>
      </c>
      <c r="B564" s="14" t="s">
        <v>458</v>
      </c>
      <c r="C564" s="10">
        <v>2000</v>
      </c>
      <c r="D564" s="11">
        <v>2000</v>
      </c>
      <c r="E564" s="11">
        <v>2000</v>
      </c>
      <c r="F564" s="11">
        <v>2000</v>
      </c>
      <c r="G564" s="11">
        <f>E564-F564</f>
        <v>0</v>
      </c>
      <c r="H564" s="15">
        <f>G564/E564</f>
        <v>0</v>
      </c>
    </row>
    <row r="565" spans="1:8">
      <c r="A565" s="13" t="s">
        <v>706</v>
      </c>
      <c r="B565" s="14" t="s">
        <v>459</v>
      </c>
      <c r="C565" s="10">
        <v>500</v>
      </c>
      <c r="D565" s="11">
        <v>500</v>
      </c>
      <c r="E565" s="11">
        <v>500</v>
      </c>
      <c r="F565" s="11">
        <v>500</v>
      </c>
      <c r="G565" s="11">
        <f>E565-F565</f>
        <v>0</v>
      </c>
      <c r="H565" s="15">
        <f>G565/E565</f>
        <v>0</v>
      </c>
    </row>
    <row r="566" spans="1:8">
      <c r="A566" s="8">
        <v>2</v>
      </c>
      <c r="B566" s="9" t="s">
        <v>708</v>
      </c>
      <c r="C566" s="10"/>
      <c r="D566" s="11"/>
      <c r="E566" s="11"/>
      <c r="F566" s="11"/>
      <c r="G566" s="11"/>
      <c r="H566" s="12"/>
    </row>
    <row r="567" spans="1:8">
      <c r="A567" s="13" t="s">
        <v>706</v>
      </c>
      <c r="B567" s="14" t="s">
        <v>523</v>
      </c>
      <c r="C567" s="10">
        <v>10</v>
      </c>
      <c r="D567" s="11">
        <v>9</v>
      </c>
      <c r="E567" s="11">
        <v>9</v>
      </c>
      <c r="F567" s="11"/>
      <c r="G567" s="11">
        <f>E567-F567</f>
        <v>9</v>
      </c>
      <c r="H567" s="15">
        <f>G567/E567</f>
        <v>1</v>
      </c>
    </row>
    <row r="568" spans="1:8" ht="13.5" thickBot="1">
      <c r="A568" s="13" t="s">
        <v>706</v>
      </c>
      <c r="B568" s="14" t="s">
        <v>460</v>
      </c>
      <c r="C568" s="10">
        <v>10</v>
      </c>
      <c r="D568" s="11">
        <v>0</v>
      </c>
      <c r="E568" s="11">
        <v>0</v>
      </c>
      <c r="F568" s="11"/>
      <c r="G568" s="11">
        <f>E568-F568</f>
        <v>0</v>
      </c>
      <c r="H568" s="15" t="e">
        <f>G568/E568</f>
        <v>#DIV/0!</v>
      </c>
    </row>
    <row r="569" spans="1:8">
      <c r="A569" s="16"/>
      <c r="B569" s="17" t="s">
        <v>717</v>
      </c>
      <c r="C569" s="18">
        <f>SUM(C558:C568)</f>
        <v>3379</v>
      </c>
      <c r="D569" s="18">
        <f>SUM(D558:D568)</f>
        <v>3068</v>
      </c>
      <c r="E569" s="18">
        <f>SUM(E558:E568)</f>
        <v>3068</v>
      </c>
      <c r="F569" s="18">
        <f>SUM(F558:F559)</f>
        <v>0</v>
      </c>
      <c r="G569" s="18">
        <f>SUM(G558:G559)</f>
        <v>400</v>
      </c>
      <c r="H569" s="36">
        <f>G569/E569</f>
        <v>0.1303780964797914</v>
      </c>
    </row>
    <row r="570" spans="1:8">
      <c r="A570" s="19"/>
      <c r="B570" s="20" t="s">
        <v>718</v>
      </c>
      <c r="C570" s="21"/>
      <c r="D570" s="22"/>
      <c r="E570" s="22"/>
      <c r="F570" s="23"/>
      <c r="G570" s="24"/>
      <c r="H570" s="25"/>
    </row>
    <row r="571" spans="1:8" ht="13.5" thickBot="1">
      <c r="A571" s="26"/>
      <c r="B571" s="27" t="s">
        <v>719</v>
      </c>
      <c r="C571" s="28"/>
      <c r="D571" s="29"/>
      <c r="E571" s="29"/>
      <c r="F571" s="28"/>
      <c r="G571" s="30"/>
      <c r="H571" s="31"/>
    </row>
    <row r="572" spans="1:8" ht="13.5" thickBot="1">
      <c r="A572" s="33"/>
      <c r="B572" s="35" t="s">
        <v>717</v>
      </c>
      <c r="C572" s="34">
        <f t="shared" ref="C572:H572" si="31">SUM(C462,C472,C485,C500,C514,C525,C533,C552,C569)</f>
        <v>31262.5</v>
      </c>
      <c r="D572" s="34">
        <f t="shared" si="31"/>
        <v>27084</v>
      </c>
      <c r="E572" s="34">
        <f>SUM(E462,E472,E485,E500,E514,E525,E533,E552,E569)</f>
        <v>27084</v>
      </c>
      <c r="F572" s="34">
        <f t="shared" si="31"/>
        <v>4954.630000000001</v>
      </c>
      <c r="G572" s="34">
        <f t="shared" si="31"/>
        <v>8856.3700000000008</v>
      </c>
      <c r="H572" s="34">
        <f t="shared" si="31"/>
        <v>2.7106494425847178</v>
      </c>
    </row>
    <row r="573" spans="1:8" ht="22.5" customHeight="1" thickBot="1">
      <c r="A573" s="96"/>
      <c r="B573" s="104"/>
      <c r="C573" s="104"/>
      <c r="D573" s="104" t="s">
        <v>245</v>
      </c>
      <c r="E573" s="104"/>
      <c r="F573" s="104"/>
      <c r="G573" s="104"/>
      <c r="H573" s="104"/>
    </row>
    <row r="574" spans="1:8" ht="14.1" customHeight="1">
      <c r="B574" s="104"/>
      <c r="C574" s="104"/>
      <c r="D574" s="104" t="s">
        <v>341</v>
      </c>
      <c r="E574" s="104"/>
      <c r="F574" s="104"/>
      <c r="G574" s="104"/>
      <c r="H574" s="105"/>
    </row>
    <row r="575" spans="1:8" ht="13.5" thickBot="1">
      <c r="A575" s="3"/>
      <c r="B575" s="4" t="s">
        <v>699</v>
      </c>
      <c r="C575" s="5" t="s">
        <v>700</v>
      </c>
      <c r="D575" s="6" t="s">
        <v>701</v>
      </c>
      <c r="E575" s="6" t="s">
        <v>702</v>
      </c>
      <c r="F575" s="6" t="s">
        <v>703</v>
      </c>
      <c r="G575" s="6" t="s">
        <v>704</v>
      </c>
      <c r="H575" s="7" t="s">
        <v>705</v>
      </c>
    </row>
    <row r="576" spans="1:8">
      <c r="A576" s="97">
        <v>1</v>
      </c>
      <c r="B576" s="98" t="s">
        <v>342</v>
      </c>
      <c r="C576" s="99"/>
      <c r="D576" s="11"/>
      <c r="E576" s="11"/>
      <c r="F576" s="11"/>
      <c r="G576" s="11"/>
      <c r="H576" s="12"/>
    </row>
    <row r="577" spans="1:8">
      <c r="A577" s="100" t="s">
        <v>706</v>
      </c>
      <c r="B577" s="101" t="s">
        <v>343</v>
      </c>
      <c r="C577" s="99">
        <v>50</v>
      </c>
      <c r="D577" s="11">
        <v>50</v>
      </c>
      <c r="E577" s="11">
        <v>50</v>
      </c>
      <c r="F577" s="11"/>
      <c r="G577" s="11">
        <v>0</v>
      </c>
      <c r="H577" s="15" t="e">
        <v>#DIV/0!</v>
      </c>
    </row>
    <row r="578" spans="1:8">
      <c r="A578" s="100" t="s">
        <v>709</v>
      </c>
      <c r="B578" s="101" t="s">
        <v>698</v>
      </c>
      <c r="C578" s="99">
        <v>9</v>
      </c>
      <c r="D578" s="11">
        <v>9</v>
      </c>
      <c r="E578" s="11">
        <v>9</v>
      </c>
      <c r="F578" s="11"/>
      <c r="G578" s="11">
        <v>0</v>
      </c>
      <c r="H578" s="15" t="e">
        <v>#DIV/0!</v>
      </c>
    </row>
    <row r="579" spans="1:8">
      <c r="A579" s="97">
        <v>2</v>
      </c>
      <c r="B579" s="98" t="s">
        <v>344</v>
      </c>
      <c r="C579" s="99"/>
      <c r="D579" s="11"/>
      <c r="E579" s="11"/>
      <c r="F579" s="11"/>
      <c r="G579" s="11"/>
      <c r="H579" s="15"/>
    </row>
    <row r="580" spans="1:8">
      <c r="A580" s="97" t="s">
        <v>706</v>
      </c>
      <c r="B580" s="101" t="s">
        <v>345</v>
      </c>
      <c r="C580" s="99">
        <v>2500</v>
      </c>
      <c r="D580" s="11">
        <v>1250</v>
      </c>
      <c r="E580" s="11">
        <v>1250</v>
      </c>
      <c r="F580" s="11"/>
      <c r="G580" s="11"/>
      <c r="H580" s="15"/>
    </row>
    <row r="581" spans="1:8">
      <c r="A581" s="97" t="s">
        <v>709</v>
      </c>
      <c r="B581" s="101" t="s">
        <v>346</v>
      </c>
      <c r="C581" s="99">
        <v>250</v>
      </c>
      <c r="D581" s="11">
        <v>250</v>
      </c>
      <c r="E581" s="11">
        <v>250</v>
      </c>
      <c r="F581" s="11"/>
      <c r="G581" s="11"/>
      <c r="H581" s="15"/>
    </row>
    <row r="582" spans="1:8">
      <c r="A582" s="97" t="s">
        <v>710</v>
      </c>
      <c r="B582" s="101" t="s">
        <v>347</v>
      </c>
      <c r="C582" s="99">
        <v>150</v>
      </c>
      <c r="D582" s="11">
        <v>150</v>
      </c>
      <c r="E582" s="11">
        <v>150</v>
      </c>
      <c r="F582" s="11"/>
      <c r="G582" s="11"/>
      <c r="H582" s="15"/>
    </row>
    <row r="583" spans="1:8">
      <c r="A583" s="100" t="s">
        <v>712</v>
      </c>
      <c r="B583" s="101" t="s">
        <v>698</v>
      </c>
      <c r="C583" s="99">
        <v>9</v>
      </c>
      <c r="D583" s="11">
        <v>9</v>
      </c>
      <c r="E583" s="11">
        <v>9</v>
      </c>
      <c r="F583" s="11"/>
      <c r="G583" s="11">
        <v>0</v>
      </c>
      <c r="H583" s="15" t="e">
        <v>#DIV/0!</v>
      </c>
    </row>
    <row r="584" spans="1:8">
      <c r="A584" s="97">
        <v>3</v>
      </c>
      <c r="B584" s="98" t="s">
        <v>348</v>
      </c>
      <c r="C584" s="99"/>
      <c r="D584" s="11"/>
      <c r="E584" s="11"/>
      <c r="F584" s="11"/>
      <c r="G584" s="11"/>
      <c r="H584" s="15"/>
    </row>
    <row r="585" spans="1:8">
      <c r="A585" s="97" t="s">
        <v>706</v>
      </c>
      <c r="B585" s="101" t="s">
        <v>456</v>
      </c>
      <c r="C585" s="99">
        <v>1500</v>
      </c>
      <c r="D585" s="11">
        <v>750</v>
      </c>
      <c r="E585" s="11">
        <v>750</v>
      </c>
      <c r="F585" s="11"/>
      <c r="G585" s="11"/>
      <c r="H585" s="15"/>
    </row>
    <row r="586" spans="1:8">
      <c r="A586" s="97" t="s">
        <v>709</v>
      </c>
      <c r="B586" s="101" t="s">
        <v>427</v>
      </c>
      <c r="C586" s="99">
        <v>1000</v>
      </c>
      <c r="D586" s="11" t="s">
        <v>491</v>
      </c>
      <c r="E586" s="11" t="s">
        <v>491</v>
      </c>
      <c r="F586" s="11"/>
      <c r="G586" s="11"/>
      <c r="H586" s="15"/>
    </row>
    <row r="587" spans="1:8">
      <c r="A587" s="97" t="s">
        <v>710</v>
      </c>
      <c r="B587" s="101" t="s">
        <v>513</v>
      </c>
      <c r="C587" s="99">
        <v>200</v>
      </c>
      <c r="D587" s="11" t="s">
        <v>494</v>
      </c>
      <c r="E587" s="11" t="s">
        <v>494</v>
      </c>
      <c r="F587" s="11"/>
      <c r="G587" s="11"/>
      <c r="H587" s="15"/>
    </row>
    <row r="588" spans="1:8">
      <c r="A588" s="97" t="s">
        <v>712</v>
      </c>
      <c r="B588" s="101" t="s">
        <v>698</v>
      </c>
      <c r="C588" s="99">
        <v>9</v>
      </c>
      <c r="D588" s="11">
        <v>9</v>
      </c>
      <c r="E588" s="11">
        <v>9</v>
      </c>
      <c r="F588" s="11"/>
      <c r="G588" s="11"/>
      <c r="H588" s="15"/>
    </row>
    <row r="589" spans="1:8">
      <c r="A589" s="97">
        <v>4</v>
      </c>
      <c r="B589" s="98" t="s">
        <v>349</v>
      </c>
      <c r="C589" s="99"/>
      <c r="D589" s="11"/>
      <c r="E589" s="11"/>
      <c r="F589" s="11"/>
      <c r="G589" s="11"/>
      <c r="H589" s="15"/>
    </row>
    <row r="590" spans="1:8">
      <c r="A590" s="97" t="s">
        <v>706</v>
      </c>
      <c r="B590" s="101" t="s">
        <v>345</v>
      </c>
      <c r="C590" s="99">
        <v>1000</v>
      </c>
      <c r="D590" s="11">
        <v>500</v>
      </c>
      <c r="E590" s="11">
        <v>500</v>
      </c>
      <c r="F590" s="11"/>
      <c r="G590" s="11"/>
      <c r="H590" s="15"/>
    </row>
    <row r="591" spans="1:8">
      <c r="A591" s="97" t="s">
        <v>709</v>
      </c>
      <c r="B591" s="101" t="s">
        <v>346</v>
      </c>
      <c r="C591" s="99">
        <v>100</v>
      </c>
      <c r="D591" s="11" t="s">
        <v>491</v>
      </c>
      <c r="E591" s="11" t="s">
        <v>491</v>
      </c>
      <c r="F591" s="11"/>
      <c r="G591" s="11"/>
      <c r="H591" s="15"/>
    </row>
    <row r="592" spans="1:8">
      <c r="A592" s="97" t="s">
        <v>710</v>
      </c>
      <c r="B592" s="101" t="s">
        <v>347</v>
      </c>
      <c r="C592" s="99">
        <v>150</v>
      </c>
      <c r="D592" s="11" t="s">
        <v>491</v>
      </c>
      <c r="E592" s="11" t="s">
        <v>491</v>
      </c>
      <c r="F592" s="11"/>
      <c r="G592" s="11"/>
      <c r="H592" s="15"/>
    </row>
    <row r="593" spans="1:8">
      <c r="A593" s="97" t="s">
        <v>712</v>
      </c>
      <c r="B593" s="101" t="s">
        <v>343</v>
      </c>
      <c r="C593" s="99">
        <v>50</v>
      </c>
      <c r="D593" s="11" t="s">
        <v>491</v>
      </c>
      <c r="E593" s="11" t="s">
        <v>491</v>
      </c>
      <c r="F593" s="11"/>
      <c r="G593" s="11"/>
      <c r="H593" s="15"/>
    </row>
    <row r="594" spans="1:8">
      <c r="A594" s="97" t="s">
        <v>713</v>
      </c>
      <c r="B594" s="101" t="s">
        <v>698</v>
      </c>
      <c r="C594" s="99">
        <v>9</v>
      </c>
      <c r="D594" s="11">
        <v>9</v>
      </c>
      <c r="E594" s="11">
        <v>10</v>
      </c>
      <c r="F594" s="11"/>
      <c r="G594" s="11"/>
      <c r="H594" s="15"/>
    </row>
    <row r="595" spans="1:8">
      <c r="A595" s="97">
        <v>5</v>
      </c>
      <c r="B595" s="98" t="s">
        <v>350</v>
      </c>
      <c r="C595" s="99"/>
      <c r="D595" s="11"/>
      <c r="E595" s="11"/>
      <c r="F595" s="11"/>
      <c r="G595" s="11"/>
      <c r="H595" s="15"/>
    </row>
    <row r="596" spans="1:8">
      <c r="A596" s="97" t="s">
        <v>706</v>
      </c>
      <c r="B596" s="101" t="s">
        <v>351</v>
      </c>
      <c r="C596" s="99">
        <v>400</v>
      </c>
      <c r="D596" s="11" t="s">
        <v>491</v>
      </c>
      <c r="E596" s="11" t="s">
        <v>491</v>
      </c>
      <c r="F596" s="11"/>
      <c r="G596" s="11"/>
      <c r="H596" s="15"/>
    </row>
    <row r="597" spans="1:8">
      <c r="A597" s="97" t="s">
        <v>709</v>
      </c>
      <c r="B597" s="101" t="s">
        <v>698</v>
      </c>
      <c r="C597" s="99">
        <v>9</v>
      </c>
      <c r="D597" s="11" t="s">
        <v>491</v>
      </c>
      <c r="E597" s="11" t="s">
        <v>491</v>
      </c>
      <c r="F597" s="11"/>
      <c r="G597" s="11"/>
      <c r="H597" s="15"/>
    </row>
    <row r="598" spans="1:8">
      <c r="A598" s="97">
        <v>6</v>
      </c>
      <c r="B598" s="98" t="s">
        <v>352</v>
      </c>
      <c r="C598" s="99"/>
      <c r="D598" s="11"/>
      <c r="E598" s="11"/>
      <c r="F598" s="11"/>
      <c r="G598" s="11"/>
      <c r="H598" s="15"/>
    </row>
    <row r="599" spans="1:8">
      <c r="A599" s="97" t="s">
        <v>706</v>
      </c>
      <c r="B599" s="101" t="s">
        <v>761</v>
      </c>
      <c r="C599" s="99">
        <v>50</v>
      </c>
      <c r="D599" s="11">
        <v>50</v>
      </c>
      <c r="E599" s="11">
        <v>51</v>
      </c>
      <c r="F599" s="11"/>
      <c r="G599" s="11"/>
      <c r="H599" s="15"/>
    </row>
    <row r="600" spans="1:8">
      <c r="A600" s="97">
        <v>7</v>
      </c>
      <c r="B600" s="98" t="s">
        <v>353</v>
      </c>
      <c r="C600" s="99"/>
      <c r="D600" s="11"/>
      <c r="E600" s="11"/>
      <c r="F600" s="11"/>
      <c r="G600" s="11"/>
      <c r="H600" s="15"/>
    </row>
    <row r="601" spans="1:8">
      <c r="A601" s="97" t="s">
        <v>706</v>
      </c>
      <c r="B601" s="101" t="s">
        <v>711</v>
      </c>
      <c r="C601" s="99">
        <v>200</v>
      </c>
      <c r="D601" s="11" t="s">
        <v>495</v>
      </c>
      <c r="E601" s="11" t="s">
        <v>495</v>
      </c>
      <c r="F601" s="11"/>
      <c r="G601" s="11"/>
      <c r="H601" s="15"/>
    </row>
    <row r="602" spans="1:8">
      <c r="A602" s="97" t="s">
        <v>709</v>
      </c>
      <c r="B602" s="101" t="s">
        <v>523</v>
      </c>
      <c r="C602" s="99">
        <v>36</v>
      </c>
      <c r="D602" s="11" t="s">
        <v>491</v>
      </c>
      <c r="E602" s="11" t="s">
        <v>491</v>
      </c>
      <c r="F602" s="11"/>
      <c r="G602" s="11"/>
      <c r="H602" s="15"/>
    </row>
    <row r="603" spans="1:8">
      <c r="A603" s="97">
        <v>8</v>
      </c>
      <c r="B603" s="98" t="s">
        <v>354</v>
      </c>
      <c r="C603" s="99"/>
      <c r="D603" s="11"/>
      <c r="E603" s="11"/>
      <c r="F603" s="11"/>
      <c r="G603" s="11"/>
      <c r="H603" s="15"/>
    </row>
    <row r="604" spans="1:8">
      <c r="A604" s="97" t="s">
        <v>706</v>
      </c>
      <c r="B604" s="101" t="s">
        <v>698</v>
      </c>
      <c r="C604" s="99">
        <v>9</v>
      </c>
      <c r="D604" s="11">
        <v>9</v>
      </c>
      <c r="E604" s="11">
        <v>10</v>
      </c>
      <c r="F604" s="11"/>
      <c r="G604" s="11"/>
      <c r="H604" s="15"/>
    </row>
    <row r="605" spans="1:8">
      <c r="A605" s="97">
        <v>9</v>
      </c>
      <c r="B605" s="98" t="s">
        <v>355</v>
      </c>
      <c r="C605" s="99"/>
      <c r="D605" s="11"/>
      <c r="E605" s="11"/>
      <c r="F605" s="11"/>
      <c r="G605" s="11"/>
      <c r="H605" s="15"/>
    </row>
    <row r="606" spans="1:8">
      <c r="A606" s="97" t="s">
        <v>706</v>
      </c>
      <c r="B606" s="101" t="s">
        <v>356</v>
      </c>
      <c r="C606" s="99">
        <v>20</v>
      </c>
      <c r="D606" s="11" t="s">
        <v>491</v>
      </c>
      <c r="E606" s="11" t="s">
        <v>491</v>
      </c>
      <c r="F606" s="11"/>
      <c r="G606" s="11"/>
      <c r="H606" s="15"/>
    </row>
    <row r="607" spans="1:8">
      <c r="A607" s="97" t="s">
        <v>709</v>
      </c>
      <c r="B607" s="101" t="s">
        <v>357</v>
      </c>
      <c r="C607" s="99">
        <v>100</v>
      </c>
      <c r="D607" s="11" t="s">
        <v>491</v>
      </c>
      <c r="E607" s="11" t="s">
        <v>491</v>
      </c>
      <c r="F607" s="11"/>
      <c r="G607" s="11"/>
      <c r="H607" s="15"/>
    </row>
    <row r="608" spans="1:8" ht="13.5" thickBot="1">
      <c r="A608" s="100" t="s">
        <v>710</v>
      </c>
      <c r="B608" s="101" t="s">
        <v>358</v>
      </c>
      <c r="C608" s="99">
        <v>9</v>
      </c>
      <c r="D608" s="11">
        <v>9</v>
      </c>
      <c r="E608" s="11">
        <v>10</v>
      </c>
      <c r="F608" s="11"/>
      <c r="G608" s="11">
        <v>0</v>
      </c>
      <c r="H608" s="15" t="e">
        <v>#DIV/0!</v>
      </c>
    </row>
    <row r="609" spans="1:8">
      <c r="A609" s="16"/>
      <c r="B609" s="17" t="s">
        <v>717</v>
      </c>
      <c r="C609" s="18">
        <f t="shared" ref="C609:H609" si="32">SUM(C577:C608)</f>
        <v>7819</v>
      </c>
      <c r="D609" s="18">
        <f t="shared" si="32"/>
        <v>3054</v>
      </c>
      <c r="E609" s="18">
        <f>SUM(E577:E608)</f>
        <v>3058</v>
      </c>
      <c r="F609" s="18">
        <f t="shared" si="32"/>
        <v>0</v>
      </c>
      <c r="G609" s="18">
        <f t="shared" si="32"/>
        <v>0</v>
      </c>
      <c r="H609" s="18" t="e">
        <f t="shared" si="32"/>
        <v>#DIV/0!</v>
      </c>
    </row>
    <row r="610" spans="1:8">
      <c r="A610" s="19"/>
      <c r="B610" s="20" t="s">
        <v>718</v>
      </c>
      <c r="C610" s="21"/>
      <c r="D610" s="22"/>
      <c r="E610" s="22"/>
      <c r="F610" s="23"/>
      <c r="G610" s="24"/>
      <c r="H610" s="25"/>
    </row>
    <row r="611" spans="1:8" ht="13.5" thickBot="1">
      <c r="A611" s="26"/>
      <c r="B611" s="27" t="s">
        <v>719</v>
      </c>
      <c r="C611" s="28"/>
      <c r="D611" s="29"/>
      <c r="E611" s="29"/>
      <c r="F611" s="28"/>
      <c r="G611" s="30"/>
      <c r="H611" s="31"/>
    </row>
    <row r="612" spans="1:8" ht="25.5">
      <c r="A612" s="96"/>
      <c r="B612" s="102"/>
      <c r="C612" s="102"/>
      <c r="D612" s="102" t="s">
        <v>359</v>
      </c>
      <c r="E612" s="102"/>
      <c r="F612" s="102"/>
      <c r="G612" s="102"/>
      <c r="H612" s="102"/>
    </row>
    <row r="613" spans="1:8" ht="13.5" thickBot="1">
      <c r="A613" s="3"/>
      <c r="B613" s="4" t="s">
        <v>699</v>
      </c>
      <c r="C613" s="5" t="s">
        <v>700</v>
      </c>
      <c r="D613" s="6" t="s">
        <v>701</v>
      </c>
      <c r="E613" s="6" t="s">
        <v>702</v>
      </c>
      <c r="F613" s="6" t="s">
        <v>703</v>
      </c>
      <c r="G613" s="6" t="s">
        <v>704</v>
      </c>
      <c r="H613" s="7" t="s">
        <v>705</v>
      </c>
    </row>
    <row r="614" spans="1:8">
      <c r="A614" s="97">
        <v>1</v>
      </c>
      <c r="B614" s="98" t="s">
        <v>360</v>
      </c>
      <c r="C614" s="99"/>
      <c r="D614" s="11"/>
      <c r="E614" s="11"/>
      <c r="F614" s="11"/>
      <c r="G614" s="11"/>
      <c r="H614" s="12"/>
    </row>
    <row r="615" spans="1:8">
      <c r="A615" s="100" t="s">
        <v>706</v>
      </c>
      <c r="B615" s="101" t="s">
        <v>345</v>
      </c>
      <c r="C615" s="99">
        <v>1500</v>
      </c>
      <c r="D615" s="11">
        <v>750</v>
      </c>
      <c r="E615" s="11">
        <v>750</v>
      </c>
      <c r="F615" s="11"/>
      <c r="G615" s="11">
        <v>0</v>
      </c>
      <c r="H615" s="15" t="e">
        <v>#DIV/0!</v>
      </c>
    </row>
    <row r="616" spans="1:8">
      <c r="A616" s="100" t="s">
        <v>709</v>
      </c>
      <c r="B616" s="101" t="s">
        <v>361</v>
      </c>
      <c r="C616" s="99">
        <v>15</v>
      </c>
      <c r="D616" s="11">
        <v>9</v>
      </c>
      <c r="E616" s="11">
        <v>9</v>
      </c>
      <c r="F616" s="11"/>
      <c r="G616" s="11"/>
      <c r="H616" s="15"/>
    </row>
    <row r="617" spans="1:8">
      <c r="A617" s="97">
        <v>2</v>
      </c>
      <c r="B617" s="98" t="s">
        <v>362</v>
      </c>
      <c r="C617" s="99"/>
      <c r="D617" s="11"/>
      <c r="E617" s="11"/>
      <c r="F617" s="11"/>
      <c r="G617" s="11"/>
      <c r="H617" s="15"/>
    </row>
    <row r="618" spans="1:8">
      <c r="A618" s="97" t="s">
        <v>706</v>
      </c>
      <c r="B618" s="101" t="s">
        <v>363</v>
      </c>
      <c r="C618" s="99">
        <v>3200</v>
      </c>
      <c r="D618" s="11">
        <v>0</v>
      </c>
      <c r="E618" s="11">
        <v>0</v>
      </c>
      <c r="F618" s="11"/>
      <c r="G618" s="11"/>
      <c r="H618" s="15"/>
    </row>
    <row r="619" spans="1:8">
      <c r="A619" s="100" t="s">
        <v>709</v>
      </c>
      <c r="B619" s="101" t="s">
        <v>361</v>
      </c>
      <c r="C619" s="99">
        <v>15</v>
      </c>
      <c r="D619" s="11">
        <v>0</v>
      </c>
      <c r="E619" s="11">
        <v>0</v>
      </c>
      <c r="F619" s="11"/>
      <c r="G619" s="11">
        <v>0</v>
      </c>
      <c r="H619" s="15" t="e">
        <v>#DIV/0!</v>
      </c>
    </row>
    <row r="620" spans="1:8">
      <c r="A620" s="100">
        <v>3</v>
      </c>
      <c r="B620" s="98" t="s">
        <v>364</v>
      </c>
      <c r="C620" s="99"/>
      <c r="D620" s="11"/>
      <c r="E620" s="11"/>
      <c r="F620" s="11"/>
      <c r="G620" s="11">
        <v>0</v>
      </c>
      <c r="H620" s="15" t="e">
        <v>#DIV/0!</v>
      </c>
    </row>
    <row r="621" spans="1:8">
      <c r="A621" s="100" t="s">
        <v>706</v>
      </c>
      <c r="B621" s="101" t="s">
        <v>485</v>
      </c>
      <c r="C621" s="99">
        <v>100</v>
      </c>
      <c r="D621" s="11">
        <v>50</v>
      </c>
      <c r="E621" s="11">
        <v>50</v>
      </c>
      <c r="F621" s="11"/>
      <c r="G621" s="11"/>
      <c r="H621" s="15"/>
    </row>
    <row r="622" spans="1:8">
      <c r="A622" s="100" t="s">
        <v>709</v>
      </c>
      <c r="B622" s="101" t="s">
        <v>361</v>
      </c>
      <c r="C622" s="99">
        <v>0</v>
      </c>
      <c r="D622" s="11">
        <v>9</v>
      </c>
      <c r="E622" s="11">
        <v>9</v>
      </c>
      <c r="F622" s="11"/>
      <c r="G622" s="11"/>
      <c r="H622" s="15"/>
    </row>
    <row r="623" spans="1:8">
      <c r="A623" s="100">
        <v>4</v>
      </c>
      <c r="B623" s="98" t="s">
        <v>365</v>
      </c>
      <c r="C623" s="99"/>
      <c r="D623" s="11"/>
      <c r="E623" s="11"/>
      <c r="F623" s="11"/>
      <c r="G623" s="11"/>
      <c r="H623" s="15"/>
    </row>
    <row r="624" spans="1:8">
      <c r="A624" s="100" t="s">
        <v>706</v>
      </c>
      <c r="B624" s="101" t="s">
        <v>361</v>
      </c>
      <c r="C624" s="99">
        <v>100</v>
      </c>
      <c r="D624" s="11">
        <v>9</v>
      </c>
      <c r="E624" s="11">
        <v>9</v>
      </c>
      <c r="F624" s="11"/>
      <c r="G624" s="11"/>
      <c r="H624" s="15"/>
    </row>
    <row r="625" spans="1:9">
      <c r="A625" s="100">
        <v>5</v>
      </c>
      <c r="B625" s="98" t="s">
        <v>366</v>
      </c>
      <c r="C625" s="99"/>
      <c r="D625" s="11"/>
      <c r="E625" s="11"/>
      <c r="F625" s="11"/>
      <c r="G625" s="11"/>
      <c r="H625" s="15"/>
    </row>
    <row r="626" spans="1:9">
      <c r="A626" s="100" t="s">
        <v>706</v>
      </c>
      <c r="B626" s="101" t="s">
        <v>487</v>
      </c>
      <c r="C626" s="99">
        <v>50</v>
      </c>
      <c r="D626" s="11">
        <v>50</v>
      </c>
      <c r="E626" s="11">
        <v>50</v>
      </c>
      <c r="F626" s="11"/>
      <c r="G626" s="11">
        <v>0</v>
      </c>
      <c r="H626" s="15" t="e">
        <v>#DIV/0!</v>
      </c>
      <c r="I626" s="112" t="s">
        <v>385</v>
      </c>
    </row>
    <row r="627" spans="1:9">
      <c r="A627" s="100">
        <v>6</v>
      </c>
      <c r="B627" s="98" t="s">
        <v>367</v>
      </c>
      <c r="C627" s="99"/>
      <c r="D627" s="11"/>
      <c r="E627" s="11"/>
      <c r="F627" s="11"/>
      <c r="G627" s="11"/>
      <c r="H627" s="103"/>
    </row>
    <row r="628" spans="1:9" ht="13.5" thickBot="1">
      <c r="A628" s="100" t="s">
        <v>706</v>
      </c>
      <c r="B628" s="101" t="s">
        <v>368</v>
      </c>
      <c r="C628" s="99">
        <v>100</v>
      </c>
      <c r="D628" s="11">
        <v>9</v>
      </c>
      <c r="E628" s="11">
        <v>9</v>
      </c>
      <c r="F628" s="11"/>
      <c r="G628" s="11"/>
      <c r="H628" s="103"/>
    </row>
    <row r="629" spans="1:9">
      <c r="A629" s="16"/>
      <c r="B629" s="17" t="s">
        <v>717</v>
      </c>
      <c r="C629" s="18">
        <f t="shared" ref="C629:H629" si="33">SUM(C615:C628)</f>
        <v>5080</v>
      </c>
      <c r="D629" s="18">
        <f t="shared" si="33"/>
        <v>886</v>
      </c>
      <c r="E629" s="18">
        <f>SUM(E615:E628)</f>
        <v>886</v>
      </c>
      <c r="F629" s="18">
        <f t="shared" si="33"/>
        <v>0</v>
      </c>
      <c r="G629" s="18">
        <f t="shared" si="33"/>
        <v>0</v>
      </c>
      <c r="H629" s="18" t="e">
        <f t="shared" si="33"/>
        <v>#DIV/0!</v>
      </c>
    </row>
    <row r="630" spans="1:9">
      <c r="A630" s="19"/>
      <c r="B630" s="20" t="s">
        <v>718</v>
      </c>
      <c r="C630" s="21"/>
      <c r="D630" s="22"/>
      <c r="E630" s="22"/>
      <c r="F630" s="23"/>
      <c r="G630" s="24"/>
      <c r="H630" s="25"/>
    </row>
    <row r="631" spans="1:9" ht="13.5" thickBot="1">
      <c r="A631" s="26"/>
      <c r="B631" s="27" t="s">
        <v>719</v>
      </c>
      <c r="C631" s="28"/>
      <c r="D631" s="29"/>
      <c r="E631" s="29"/>
      <c r="F631" s="28"/>
      <c r="G631" s="30"/>
      <c r="H631" s="31"/>
    </row>
    <row r="632" spans="1:9" ht="25.5">
      <c r="A632" s="102"/>
      <c r="B632" s="102"/>
      <c r="C632" s="102"/>
      <c r="D632" s="102" t="s">
        <v>369</v>
      </c>
      <c r="E632" s="102"/>
      <c r="F632" s="102"/>
      <c r="G632" s="102"/>
      <c r="H632" s="102"/>
    </row>
    <row r="633" spans="1:9" ht="13.5" thickBot="1">
      <c r="A633" s="3"/>
      <c r="B633" s="4" t="s">
        <v>699</v>
      </c>
      <c r="C633" s="5" t="s">
        <v>700</v>
      </c>
      <c r="D633" s="6" t="s">
        <v>701</v>
      </c>
      <c r="E633" s="6" t="s">
        <v>702</v>
      </c>
      <c r="F633" s="6" t="s">
        <v>703</v>
      </c>
      <c r="G633" s="6" t="s">
        <v>704</v>
      </c>
      <c r="H633" s="7" t="s">
        <v>705</v>
      </c>
    </row>
    <row r="634" spans="1:9">
      <c r="A634" s="100">
        <v>1</v>
      </c>
      <c r="B634" s="98" t="s">
        <v>829</v>
      </c>
      <c r="C634" s="99"/>
      <c r="D634" s="11"/>
      <c r="E634" s="11"/>
      <c r="F634" s="11"/>
      <c r="G634" s="11"/>
      <c r="H634" s="12"/>
    </row>
    <row r="635" spans="1:9">
      <c r="A635" s="100" t="s">
        <v>706</v>
      </c>
      <c r="B635" s="101" t="s">
        <v>343</v>
      </c>
      <c r="C635" s="99">
        <v>50</v>
      </c>
      <c r="D635" s="11">
        <v>50</v>
      </c>
      <c r="E635" s="11">
        <v>50</v>
      </c>
      <c r="F635" s="11"/>
      <c r="G635" s="11">
        <v>0</v>
      </c>
      <c r="H635" s="15" t="e">
        <v>#DIV/0!</v>
      </c>
    </row>
    <row r="636" spans="1:9">
      <c r="A636" s="97" t="s">
        <v>709</v>
      </c>
      <c r="B636" s="101" t="s">
        <v>698</v>
      </c>
      <c r="C636" s="99">
        <v>9</v>
      </c>
      <c r="D636" s="11">
        <v>9</v>
      </c>
      <c r="E636" s="11">
        <v>9</v>
      </c>
      <c r="F636" s="11"/>
      <c r="G636" s="11"/>
      <c r="H636" s="15"/>
    </row>
    <row r="637" spans="1:9">
      <c r="A637" s="97">
        <v>2</v>
      </c>
      <c r="B637" s="98" t="s">
        <v>370</v>
      </c>
      <c r="C637" s="99"/>
      <c r="D637" s="11"/>
      <c r="E637" s="11"/>
      <c r="F637" s="11"/>
      <c r="G637" s="11"/>
      <c r="H637" s="15"/>
    </row>
    <row r="638" spans="1:9">
      <c r="A638" s="97" t="s">
        <v>706</v>
      </c>
      <c r="B638" s="101" t="s">
        <v>698</v>
      </c>
      <c r="C638" s="99">
        <v>9</v>
      </c>
      <c r="D638" s="11">
        <v>9</v>
      </c>
      <c r="E638" s="11">
        <v>9</v>
      </c>
      <c r="F638" s="11"/>
      <c r="G638" s="11"/>
      <c r="H638" s="15"/>
    </row>
    <row r="639" spans="1:9">
      <c r="A639" s="97" t="s">
        <v>709</v>
      </c>
      <c r="B639" s="101" t="s">
        <v>513</v>
      </c>
      <c r="C639" s="99">
        <v>150</v>
      </c>
      <c r="D639" s="11">
        <v>150</v>
      </c>
      <c r="E639" s="11">
        <v>150</v>
      </c>
      <c r="F639" s="11"/>
      <c r="G639" s="11"/>
      <c r="H639" s="15"/>
    </row>
    <row r="640" spans="1:9">
      <c r="A640" s="97" t="s">
        <v>710</v>
      </c>
      <c r="B640" s="101" t="s">
        <v>747</v>
      </c>
      <c r="C640" s="99">
        <v>250</v>
      </c>
      <c r="D640" s="11">
        <v>250</v>
      </c>
      <c r="E640" s="11">
        <v>250</v>
      </c>
      <c r="F640" s="11"/>
      <c r="G640" s="11"/>
      <c r="H640" s="15"/>
    </row>
    <row r="641" spans="1:9">
      <c r="A641" s="100" t="s">
        <v>712</v>
      </c>
      <c r="B641" s="101" t="s">
        <v>516</v>
      </c>
      <c r="C641" s="99">
        <v>75</v>
      </c>
      <c r="D641" s="11">
        <v>50</v>
      </c>
      <c r="E641" s="11">
        <v>50</v>
      </c>
      <c r="F641" s="11"/>
      <c r="G641" s="11"/>
      <c r="H641" s="15"/>
    </row>
    <row r="642" spans="1:9">
      <c r="A642" s="100" t="s">
        <v>713</v>
      </c>
      <c r="B642" s="101" t="s">
        <v>371</v>
      </c>
      <c r="C642" s="99">
        <v>75</v>
      </c>
      <c r="D642" s="11">
        <v>0</v>
      </c>
      <c r="E642" s="11">
        <v>0</v>
      </c>
      <c r="F642" s="11"/>
      <c r="G642" s="11">
        <v>0</v>
      </c>
      <c r="H642" s="15" t="e">
        <v>#DIV/0!</v>
      </c>
    </row>
    <row r="643" spans="1:9">
      <c r="A643" s="100">
        <v>3</v>
      </c>
      <c r="B643" s="98" t="s">
        <v>372</v>
      </c>
      <c r="C643" s="99"/>
      <c r="D643" s="11"/>
      <c r="E643" s="11"/>
      <c r="F643" s="11"/>
      <c r="G643" s="11">
        <v>0</v>
      </c>
      <c r="H643" s="15" t="e">
        <v>#DIV/0!</v>
      </c>
    </row>
    <row r="644" spans="1:9">
      <c r="A644" s="100" t="s">
        <v>706</v>
      </c>
      <c r="B644" s="101" t="s">
        <v>698</v>
      </c>
      <c r="C644" s="99">
        <v>9</v>
      </c>
      <c r="D644" s="11">
        <v>9</v>
      </c>
      <c r="E644" s="11">
        <v>9</v>
      </c>
      <c r="F644" s="11"/>
      <c r="G644" s="11"/>
      <c r="H644" s="15"/>
    </row>
    <row r="645" spans="1:9">
      <c r="A645" s="100" t="s">
        <v>490</v>
      </c>
      <c r="B645" s="101" t="s">
        <v>373</v>
      </c>
      <c r="C645" s="99">
        <v>100</v>
      </c>
      <c r="D645" s="11">
        <v>100</v>
      </c>
      <c r="E645" s="11">
        <v>100</v>
      </c>
      <c r="F645" s="11"/>
      <c r="G645" s="11"/>
      <c r="H645" s="15"/>
      <c r="I645" s="112" t="s">
        <v>242</v>
      </c>
    </row>
    <row r="646" spans="1:9">
      <c r="A646" s="100">
        <v>4</v>
      </c>
      <c r="B646" s="98" t="s">
        <v>492</v>
      </c>
      <c r="C646" s="99"/>
      <c r="D646" s="11"/>
      <c r="E646" s="11"/>
      <c r="F646" s="11"/>
      <c r="G646" s="11">
        <v>0</v>
      </c>
      <c r="H646" s="15" t="e">
        <v>#DIV/0!</v>
      </c>
    </row>
    <row r="647" spans="1:9" ht="13.5" thickBot="1">
      <c r="A647" s="100" t="s">
        <v>493</v>
      </c>
      <c r="B647" s="101" t="s">
        <v>374</v>
      </c>
      <c r="C647" s="99">
        <v>21.75</v>
      </c>
      <c r="D647" s="11">
        <v>21.75</v>
      </c>
      <c r="E647" s="11">
        <v>21.75</v>
      </c>
      <c r="F647" s="11"/>
      <c r="G647" s="11">
        <v>0</v>
      </c>
      <c r="H647" s="15" t="e">
        <v>#DIV/0!</v>
      </c>
    </row>
    <row r="648" spans="1:9">
      <c r="A648" s="19"/>
      <c r="B648" s="17" t="s">
        <v>717</v>
      </c>
      <c r="C648" s="18">
        <f t="shared" ref="C648:H648" si="34">SUM(C635:C647)</f>
        <v>748.75</v>
      </c>
      <c r="D648" s="18">
        <f t="shared" si="34"/>
        <v>648.75</v>
      </c>
      <c r="E648" s="18">
        <f>SUM(E635:E647)</f>
        <v>648.75</v>
      </c>
      <c r="F648" s="18">
        <f t="shared" si="34"/>
        <v>0</v>
      </c>
      <c r="G648" s="18">
        <f t="shared" si="34"/>
        <v>0</v>
      </c>
      <c r="H648" s="18" t="e">
        <f t="shared" si="34"/>
        <v>#DIV/0!</v>
      </c>
    </row>
    <row r="649" spans="1:9" ht="13.5" thickBot="1">
      <c r="A649" s="26"/>
      <c r="B649" s="20" t="s">
        <v>718</v>
      </c>
      <c r="C649" s="21"/>
      <c r="D649" s="22"/>
      <c r="E649" s="22"/>
      <c r="F649" s="23"/>
      <c r="G649" s="24"/>
      <c r="H649" s="25"/>
    </row>
    <row r="650" spans="1:9" ht="13.5" thickBot="1">
      <c r="A650" s="26"/>
      <c r="B650" s="27" t="s">
        <v>719</v>
      </c>
      <c r="C650" s="28"/>
      <c r="D650" s="29"/>
      <c r="E650" s="29"/>
      <c r="F650" s="28"/>
      <c r="G650" s="30"/>
      <c r="H650" s="31"/>
    </row>
    <row r="651" spans="1:9">
      <c r="A651" s="96"/>
      <c r="B651" s="102"/>
      <c r="C651" s="102"/>
      <c r="D651" s="102" t="s">
        <v>375</v>
      </c>
      <c r="E651" s="102"/>
      <c r="F651" s="102"/>
      <c r="G651" s="102"/>
      <c r="H651" s="102"/>
    </row>
    <row r="652" spans="1:9" ht="13.5" thickBot="1">
      <c r="A652" s="26"/>
      <c r="B652" s="4" t="s">
        <v>699</v>
      </c>
      <c r="C652" s="5" t="s">
        <v>700</v>
      </c>
      <c r="D652" s="6" t="s">
        <v>701</v>
      </c>
      <c r="E652" s="6" t="s">
        <v>702</v>
      </c>
      <c r="F652" s="6" t="s">
        <v>703</v>
      </c>
      <c r="G652" s="6" t="s">
        <v>704</v>
      </c>
      <c r="H652" s="7" t="s">
        <v>705</v>
      </c>
    </row>
    <row r="653" spans="1:9">
      <c r="A653" s="100">
        <v>1</v>
      </c>
      <c r="B653" s="98" t="s">
        <v>829</v>
      </c>
      <c r="C653" s="99"/>
      <c r="D653" s="11"/>
      <c r="E653" s="11"/>
      <c r="F653" s="11"/>
      <c r="G653" s="11"/>
      <c r="H653" s="12"/>
    </row>
    <row r="654" spans="1:9">
      <c r="A654" s="100" t="s">
        <v>706</v>
      </c>
      <c r="B654" s="101" t="s">
        <v>343</v>
      </c>
      <c r="C654" s="99">
        <v>50</v>
      </c>
      <c r="D654" s="11">
        <v>50</v>
      </c>
      <c r="E654" s="11">
        <v>50</v>
      </c>
      <c r="F654" s="11"/>
      <c r="G654" s="11">
        <v>0</v>
      </c>
      <c r="H654" s="15" t="e">
        <v>#DIV/0!</v>
      </c>
    </row>
    <row r="655" spans="1:9">
      <c r="A655" s="100" t="s">
        <v>709</v>
      </c>
      <c r="B655" s="101" t="s">
        <v>698</v>
      </c>
      <c r="C655" s="99">
        <v>9</v>
      </c>
      <c r="D655" s="11">
        <v>9</v>
      </c>
      <c r="E655" s="11">
        <v>9</v>
      </c>
      <c r="F655" s="11">
        <f>9</f>
        <v>9</v>
      </c>
      <c r="G655" s="11"/>
      <c r="H655" s="15"/>
    </row>
    <row r="656" spans="1:9">
      <c r="A656" s="97">
        <v>2</v>
      </c>
      <c r="B656" s="98" t="s">
        <v>376</v>
      </c>
      <c r="C656" s="99"/>
      <c r="D656" s="11"/>
      <c r="E656" s="11"/>
      <c r="F656" s="11"/>
      <c r="G656" s="11"/>
      <c r="H656" s="15"/>
    </row>
    <row r="657" spans="1:9">
      <c r="A657" s="100" t="s">
        <v>706</v>
      </c>
      <c r="B657" s="101" t="s">
        <v>698</v>
      </c>
      <c r="C657" s="99">
        <v>9</v>
      </c>
      <c r="D657" s="11">
        <v>9</v>
      </c>
      <c r="E657" s="11">
        <v>9</v>
      </c>
      <c r="F657" s="11">
        <f>9</f>
        <v>9</v>
      </c>
      <c r="G657" s="11"/>
      <c r="H657" s="15"/>
    </row>
    <row r="658" spans="1:9">
      <c r="A658" s="100" t="s">
        <v>709</v>
      </c>
      <c r="B658" s="101" t="s">
        <v>711</v>
      </c>
      <c r="C658" s="99">
        <v>70</v>
      </c>
      <c r="D658" s="11">
        <v>70</v>
      </c>
      <c r="E658" s="11">
        <v>70</v>
      </c>
      <c r="F658" s="11">
        <f>38.77</f>
        <v>38.770000000000003</v>
      </c>
      <c r="G658" s="11"/>
      <c r="H658" s="15"/>
      <c r="I658" s="112" t="s">
        <v>385</v>
      </c>
    </row>
    <row r="659" spans="1:9">
      <c r="A659" s="100" t="s">
        <v>710</v>
      </c>
      <c r="B659" s="101" t="s">
        <v>345</v>
      </c>
      <c r="C659" s="99">
        <v>100</v>
      </c>
      <c r="D659" s="11">
        <v>100</v>
      </c>
      <c r="E659" s="11">
        <v>100</v>
      </c>
      <c r="F659" s="11">
        <f>100</f>
        <v>100</v>
      </c>
      <c r="G659" s="11"/>
      <c r="H659" s="15"/>
    </row>
    <row r="660" spans="1:9">
      <c r="A660" s="100">
        <v>3</v>
      </c>
      <c r="B660" s="98" t="s">
        <v>377</v>
      </c>
      <c r="C660" s="99"/>
      <c r="D660" s="11"/>
      <c r="E660" s="11"/>
      <c r="F660" s="11"/>
      <c r="G660" s="11">
        <v>0</v>
      </c>
      <c r="H660" s="15" t="e">
        <v>#DIV/0!</v>
      </c>
    </row>
    <row r="661" spans="1:9">
      <c r="A661" s="100" t="s">
        <v>706</v>
      </c>
      <c r="B661" s="101" t="s">
        <v>698</v>
      </c>
      <c r="C661" s="99">
        <v>9</v>
      </c>
      <c r="D661" s="11">
        <v>9</v>
      </c>
      <c r="E661" s="11">
        <v>9</v>
      </c>
      <c r="F661" s="11">
        <v>9</v>
      </c>
      <c r="G661" s="11"/>
      <c r="H661" s="15"/>
    </row>
    <row r="662" spans="1:9">
      <c r="A662" s="100" t="s">
        <v>709</v>
      </c>
      <c r="B662" s="101" t="s">
        <v>711</v>
      </c>
      <c r="C662" s="99">
        <v>30</v>
      </c>
      <c r="D662" s="11">
        <v>30</v>
      </c>
      <c r="E662" s="11">
        <v>30</v>
      </c>
      <c r="F662" s="11">
        <f>30</f>
        <v>30</v>
      </c>
      <c r="G662" s="11"/>
      <c r="H662" s="15"/>
      <c r="I662" s="112" t="s">
        <v>385</v>
      </c>
    </row>
    <row r="663" spans="1:9">
      <c r="A663" s="100">
        <v>4</v>
      </c>
      <c r="B663" s="98" t="s">
        <v>549</v>
      </c>
      <c r="C663" s="99"/>
      <c r="D663" s="11"/>
      <c r="E663" s="11"/>
      <c r="F663" s="11"/>
      <c r="G663" s="11"/>
      <c r="H663" s="15"/>
    </row>
    <row r="664" spans="1:9">
      <c r="A664" s="100" t="s">
        <v>706</v>
      </c>
      <c r="B664" s="101" t="s">
        <v>698</v>
      </c>
      <c r="C664" s="99">
        <v>9</v>
      </c>
      <c r="D664" s="11">
        <v>9</v>
      </c>
      <c r="E664" s="11">
        <v>9</v>
      </c>
      <c r="F664" s="11"/>
      <c r="G664" s="11"/>
      <c r="H664" s="15"/>
    </row>
    <row r="665" spans="1:9" ht="13.5" thickBot="1">
      <c r="A665" s="100" t="s">
        <v>709</v>
      </c>
      <c r="B665" s="101" t="s">
        <v>711</v>
      </c>
      <c r="C665" s="99">
        <v>30</v>
      </c>
      <c r="D665" s="11">
        <v>30</v>
      </c>
      <c r="E665" s="11">
        <v>30</v>
      </c>
      <c r="F665" s="11"/>
      <c r="G665" s="11">
        <v>0</v>
      </c>
      <c r="H665" s="15" t="e">
        <v>#DIV/0!</v>
      </c>
      <c r="I665" s="112" t="s">
        <v>385</v>
      </c>
    </row>
    <row r="666" spans="1:9">
      <c r="A666" s="19"/>
      <c r="B666" s="17" t="s">
        <v>717</v>
      </c>
      <c r="C666" s="18">
        <f>C654+C655+C657+C658+C659+C661+C662+C664+C665</f>
        <v>316</v>
      </c>
      <c r="D666" s="18">
        <f>D654+D655+D657+D658+D659+D661+D662+D664+D665</f>
        <v>316</v>
      </c>
      <c r="E666" s="18">
        <f>E654+E655+E657+E658+E659+E661+E662+E664+E665</f>
        <v>316</v>
      </c>
      <c r="F666" s="18">
        <v>0</v>
      </c>
      <c r="G666" s="18">
        <v>0</v>
      </c>
      <c r="H666" s="18" t="e">
        <v>#DIV/0!</v>
      </c>
    </row>
    <row r="667" spans="1:9" ht="13.5" thickBot="1">
      <c r="A667" s="26"/>
      <c r="B667" s="20" t="s">
        <v>718</v>
      </c>
      <c r="C667" s="21"/>
      <c r="D667" s="22"/>
      <c r="E667" s="22"/>
      <c r="F667" s="23"/>
      <c r="G667" s="24"/>
      <c r="H667" s="25"/>
    </row>
    <row r="668" spans="1:9" ht="13.5" thickBot="1">
      <c r="A668" s="3"/>
      <c r="B668" s="27" t="s">
        <v>719</v>
      </c>
      <c r="C668" s="28"/>
      <c r="D668" s="29"/>
      <c r="E668" s="29"/>
      <c r="F668" s="28"/>
      <c r="G668" s="30"/>
      <c r="H668" s="31"/>
    </row>
    <row r="669" spans="1:9" ht="25.5">
      <c r="A669" s="96"/>
      <c r="B669" s="102"/>
      <c r="C669" s="102"/>
      <c r="D669" s="102" t="s">
        <v>550</v>
      </c>
      <c r="E669" s="102"/>
      <c r="F669" s="102"/>
      <c r="G669" s="102"/>
      <c r="H669" s="102"/>
    </row>
    <row r="670" spans="1:9" ht="13.5" thickBot="1">
      <c r="A670" s="3"/>
      <c r="B670" s="4" t="s">
        <v>699</v>
      </c>
      <c r="C670" s="5" t="s">
        <v>700</v>
      </c>
      <c r="D670" s="6" t="s">
        <v>701</v>
      </c>
      <c r="E670" s="6" t="s">
        <v>702</v>
      </c>
      <c r="F670" s="6" t="s">
        <v>703</v>
      </c>
      <c r="G670" s="6" t="s">
        <v>704</v>
      </c>
      <c r="H670" s="7" t="s">
        <v>705</v>
      </c>
    </row>
    <row r="671" spans="1:9">
      <c r="A671" s="100">
        <v>1</v>
      </c>
      <c r="B671" s="98" t="s">
        <v>829</v>
      </c>
      <c r="C671" s="99"/>
      <c r="D671" s="11"/>
      <c r="E671" s="11"/>
      <c r="F671" s="11"/>
      <c r="G671" s="11"/>
      <c r="H671" s="12"/>
    </row>
    <row r="672" spans="1:9">
      <c r="A672" s="97" t="s">
        <v>706</v>
      </c>
      <c r="B672" s="101" t="s">
        <v>698</v>
      </c>
      <c r="C672" s="99">
        <v>30</v>
      </c>
      <c r="D672" s="11">
        <v>9</v>
      </c>
      <c r="E672" s="11">
        <v>9</v>
      </c>
      <c r="F672" s="11">
        <f>9</f>
        <v>9</v>
      </c>
      <c r="G672" s="11">
        <v>0</v>
      </c>
      <c r="H672" s="15" t="e">
        <v>#DIV/0!</v>
      </c>
    </row>
    <row r="673" spans="1:8">
      <c r="A673" s="97">
        <v>2</v>
      </c>
      <c r="B673" s="98" t="s">
        <v>551</v>
      </c>
      <c r="C673" s="99"/>
      <c r="D673" s="11"/>
      <c r="E673" s="11"/>
      <c r="F673" s="11"/>
      <c r="G673" s="11"/>
      <c r="H673" s="15"/>
    </row>
    <row r="674" spans="1:8">
      <c r="A674" s="97" t="s">
        <v>493</v>
      </c>
      <c r="B674" s="101" t="s">
        <v>498</v>
      </c>
      <c r="C674" s="99">
        <v>60</v>
      </c>
      <c r="D674" s="11">
        <v>60</v>
      </c>
      <c r="E674" s="11">
        <v>60</v>
      </c>
      <c r="F674" s="11">
        <f>10+10.11+7.5</f>
        <v>27.61</v>
      </c>
      <c r="G674" s="11">
        <f>E674-F674</f>
        <v>32.39</v>
      </c>
      <c r="H674" s="15"/>
    </row>
    <row r="675" spans="1:8">
      <c r="A675" s="97">
        <v>3</v>
      </c>
      <c r="B675" s="98" t="s">
        <v>552</v>
      </c>
      <c r="C675" s="99"/>
      <c r="D675" s="11"/>
      <c r="E675" s="11"/>
      <c r="F675" s="11"/>
      <c r="G675" s="11"/>
      <c r="H675" s="15"/>
    </row>
    <row r="676" spans="1:8">
      <c r="A676" t="s">
        <v>706</v>
      </c>
      <c r="B676" s="101" t="s">
        <v>496</v>
      </c>
      <c r="C676" s="99">
        <v>20</v>
      </c>
      <c r="D676" s="11" t="s">
        <v>491</v>
      </c>
      <c r="E676" s="11" t="s">
        <v>491</v>
      </c>
      <c r="F676" s="11"/>
      <c r="G676" s="11"/>
      <c r="H676" s="15"/>
    </row>
    <row r="677" spans="1:8" ht="13.5" thickBot="1">
      <c r="A677" t="s">
        <v>497</v>
      </c>
      <c r="B677" s="101" t="s">
        <v>711</v>
      </c>
      <c r="C677" s="99">
        <v>60</v>
      </c>
      <c r="D677" s="11" t="s">
        <v>491</v>
      </c>
      <c r="E677" s="11" t="s">
        <v>491</v>
      </c>
      <c r="F677" s="11"/>
      <c r="G677" s="11"/>
      <c r="H677" s="15"/>
    </row>
    <row r="678" spans="1:8" ht="13.5" thickBot="1">
      <c r="A678" s="26"/>
      <c r="B678" s="17" t="s">
        <v>717</v>
      </c>
      <c r="C678" s="18">
        <f t="shared" ref="C678:H678" si="35">SUM(C672:C677)</f>
        <v>170</v>
      </c>
      <c r="D678" s="18">
        <f t="shared" si="35"/>
        <v>69</v>
      </c>
      <c r="E678" s="18">
        <f>SUM(E672:E677)</f>
        <v>69</v>
      </c>
      <c r="F678" s="18">
        <f t="shared" si="35"/>
        <v>36.61</v>
      </c>
      <c r="G678" s="18">
        <f t="shared" si="35"/>
        <v>32.39</v>
      </c>
      <c r="H678" s="18" t="e">
        <f t="shared" si="35"/>
        <v>#DIV/0!</v>
      </c>
    </row>
    <row r="679" spans="1:8" ht="13.5" thickBot="1">
      <c r="A679" s="26"/>
      <c r="B679" s="20" t="s">
        <v>718</v>
      </c>
      <c r="C679" s="21"/>
      <c r="D679" s="22"/>
      <c r="E679" s="22"/>
      <c r="F679" s="23"/>
      <c r="G679" s="24"/>
      <c r="H679" s="25"/>
    </row>
    <row r="680" spans="1:8" ht="13.5" thickBot="1">
      <c r="A680" s="26"/>
      <c r="B680" s="27" t="s">
        <v>719</v>
      </c>
      <c r="C680" s="28"/>
      <c r="D680" s="29"/>
      <c r="E680" s="29"/>
      <c r="F680" s="28"/>
      <c r="G680" s="30"/>
      <c r="H680" s="31"/>
    </row>
    <row r="681" spans="1:8" ht="25.5">
      <c r="A681" s="104"/>
      <c r="B681" s="104"/>
      <c r="C681" s="104"/>
      <c r="D681" s="104" t="s">
        <v>381</v>
      </c>
      <c r="E681" s="104"/>
      <c r="F681" s="104"/>
      <c r="G681" s="104"/>
      <c r="H681" s="105"/>
    </row>
    <row r="682" spans="1:8" ht="13.5" thickBot="1">
      <c r="A682" s="3"/>
      <c r="B682" s="4" t="s">
        <v>699</v>
      </c>
      <c r="C682" s="5" t="s">
        <v>700</v>
      </c>
      <c r="D682" s="6" t="s">
        <v>701</v>
      </c>
      <c r="E682" s="6" t="s">
        <v>702</v>
      </c>
      <c r="F682" s="6" t="s">
        <v>703</v>
      </c>
      <c r="G682" s="6" t="s">
        <v>704</v>
      </c>
      <c r="H682" s="7" t="s">
        <v>705</v>
      </c>
    </row>
    <row r="683" spans="1:8">
      <c r="A683" s="100">
        <v>1</v>
      </c>
      <c r="B683" s="98" t="s">
        <v>829</v>
      </c>
      <c r="C683" s="99"/>
      <c r="D683" s="11"/>
      <c r="E683" s="11"/>
      <c r="F683" s="11"/>
      <c r="G683" s="11"/>
      <c r="H683" s="12"/>
    </row>
    <row r="684" spans="1:8">
      <c r="A684" s="97" t="s">
        <v>706</v>
      </c>
      <c r="B684" s="101" t="s">
        <v>711</v>
      </c>
      <c r="C684" s="99">
        <v>50</v>
      </c>
      <c r="D684" s="11">
        <v>50</v>
      </c>
      <c r="E684" s="11">
        <v>50</v>
      </c>
      <c r="F684" s="11"/>
      <c r="G684" s="11">
        <v>0</v>
      </c>
      <c r="H684" s="15" t="e">
        <v>#DIV/0!</v>
      </c>
    </row>
    <row r="685" spans="1:8">
      <c r="A685" s="97" t="s">
        <v>709</v>
      </c>
      <c r="B685" s="101" t="s">
        <v>698</v>
      </c>
      <c r="C685" s="99">
        <v>9</v>
      </c>
      <c r="D685" s="11">
        <v>9</v>
      </c>
      <c r="E685" s="11">
        <v>9</v>
      </c>
      <c r="F685" s="11">
        <f>7.5</f>
        <v>7.5</v>
      </c>
      <c r="G685" s="11"/>
      <c r="H685" s="15"/>
    </row>
    <row r="686" spans="1:8">
      <c r="A686" s="100">
        <v>2</v>
      </c>
      <c r="B686" s="98" t="s">
        <v>382</v>
      </c>
      <c r="C686" s="99"/>
      <c r="D686" s="11"/>
      <c r="E686" s="11"/>
      <c r="F686" s="11"/>
      <c r="G686" s="11">
        <v>0</v>
      </c>
      <c r="H686" s="15" t="e">
        <v>#DIV/0!</v>
      </c>
    </row>
    <row r="687" spans="1:8">
      <c r="A687" s="97" t="s">
        <v>706</v>
      </c>
      <c r="B687" s="101" t="s">
        <v>698</v>
      </c>
      <c r="C687" s="99">
        <v>9</v>
      </c>
      <c r="D687" s="11">
        <v>9</v>
      </c>
      <c r="E687" s="11">
        <v>9</v>
      </c>
      <c r="F687" s="11"/>
      <c r="G687" s="11"/>
      <c r="H687" s="15"/>
    </row>
    <row r="688" spans="1:8">
      <c r="A688" s="100">
        <v>3</v>
      </c>
      <c r="B688" s="98" t="s">
        <v>383</v>
      </c>
      <c r="C688" s="99"/>
      <c r="D688" s="11"/>
      <c r="E688" s="11"/>
      <c r="F688" s="11"/>
      <c r="G688" s="11">
        <v>0</v>
      </c>
      <c r="H688" s="15" t="e">
        <v>#DIV/0!</v>
      </c>
    </row>
    <row r="689" spans="1:9">
      <c r="A689" s="97" t="s">
        <v>706</v>
      </c>
      <c r="B689" s="101" t="s">
        <v>256</v>
      </c>
      <c r="C689" s="99">
        <v>9</v>
      </c>
      <c r="D689" s="11">
        <v>9</v>
      </c>
      <c r="E689" s="11">
        <v>9</v>
      </c>
      <c r="F689" s="11"/>
      <c r="G689" s="11"/>
      <c r="H689" s="15"/>
    </row>
    <row r="690" spans="1:9">
      <c r="A690" s="97">
        <v>4</v>
      </c>
      <c r="B690" s="101" t="s">
        <v>384</v>
      </c>
      <c r="C690" s="99"/>
      <c r="D690" s="11"/>
      <c r="E690" s="11"/>
      <c r="F690" s="11"/>
      <c r="G690" s="11">
        <v>0</v>
      </c>
      <c r="H690" s="15" t="e">
        <v>#DIV/0!</v>
      </c>
    </row>
    <row r="691" spans="1:9">
      <c r="A691" s="100" t="s">
        <v>706</v>
      </c>
      <c r="B691" s="101" t="s">
        <v>711</v>
      </c>
      <c r="C691" s="99">
        <v>100</v>
      </c>
      <c r="D691" s="11">
        <v>100</v>
      </c>
      <c r="E691" s="11">
        <v>100</v>
      </c>
      <c r="F691" s="11"/>
      <c r="G691" s="11"/>
      <c r="H691" s="12"/>
      <c r="I691" s="112" t="s">
        <v>385</v>
      </c>
    </row>
    <row r="692" spans="1:9" ht="13.5" thickBot="1">
      <c r="A692" s="100" t="s">
        <v>709</v>
      </c>
      <c r="B692" s="101" t="s">
        <v>256</v>
      </c>
      <c r="C692" s="99">
        <v>9</v>
      </c>
      <c r="D692" s="11">
        <v>9</v>
      </c>
      <c r="E692" s="11">
        <v>9</v>
      </c>
      <c r="F692" s="11"/>
      <c r="G692" s="11">
        <v>0</v>
      </c>
      <c r="H692" s="15" t="e">
        <v>#DIV/0!</v>
      </c>
    </row>
    <row r="693" spans="1:9" ht="13.5" thickBot="1">
      <c r="A693" s="26"/>
      <c r="B693" s="17" t="s">
        <v>717</v>
      </c>
      <c r="C693" s="18">
        <f t="shared" ref="C693:H693" si="36">C684+C685+C687+C689+C690+C691+C692</f>
        <v>186</v>
      </c>
      <c r="D693" s="18">
        <f t="shared" si="36"/>
        <v>186</v>
      </c>
      <c r="E693" s="18">
        <f>E684+E685+E687+E689+E690+E691+E692</f>
        <v>186</v>
      </c>
      <c r="F693" s="18">
        <f t="shared" si="36"/>
        <v>7.5</v>
      </c>
      <c r="G693" s="18">
        <f t="shared" si="36"/>
        <v>0</v>
      </c>
      <c r="H693" s="18" t="e">
        <f t="shared" si="36"/>
        <v>#DIV/0!</v>
      </c>
    </row>
    <row r="694" spans="1:9" ht="13.5" thickBot="1">
      <c r="A694" s="26"/>
      <c r="B694" s="20" t="s">
        <v>718</v>
      </c>
      <c r="C694" s="21"/>
      <c r="D694" s="22"/>
      <c r="E694" s="22"/>
      <c r="F694" s="23"/>
      <c r="G694" s="24"/>
      <c r="H694" s="25"/>
    </row>
    <row r="695" spans="1:9" ht="13.5" thickBot="1">
      <c r="A695" s="3"/>
      <c r="B695" s="27" t="s">
        <v>719</v>
      </c>
      <c r="C695" s="28"/>
      <c r="D695" s="29"/>
      <c r="E695" s="29"/>
      <c r="F695" s="28"/>
      <c r="G695" s="30"/>
      <c r="H695" s="31"/>
    </row>
    <row r="696" spans="1:9" ht="13.5" thickBot="1">
      <c r="A696" s="3"/>
      <c r="B696" s="107"/>
      <c r="C696" s="108"/>
      <c r="D696" s="108"/>
      <c r="E696" s="109"/>
      <c r="F696" s="108"/>
      <c r="G696" s="110"/>
      <c r="H696" s="111"/>
    </row>
    <row r="697" spans="1:9">
      <c r="A697" s="33"/>
      <c r="B697" s="35" t="s">
        <v>246</v>
      </c>
      <c r="C697" s="34">
        <f t="shared" ref="C697:H697" si="37">SUM(C609,C629,C648,C666,C678,C693)</f>
        <v>14319.75</v>
      </c>
      <c r="D697" s="34">
        <f t="shared" si="37"/>
        <v>5159.75</v>
      </c>
      <c r="E697" s="34">
        <f>SUM(E609,E629,E648,E666,E678,E693)</f>
        <v>5163.75</v>
      </c>
      <c r="F697" s="34">
        <f t="shared" si="37"/>
        <v>44.11</v>
      </c>
      <c r="G697" s="34">
        <f t="shared" si="37"/>
        <v>32.39</v>
      </c>
      <c r="H697" s="34" t="e">
        <f t="shared" si="37"/>
        <v>#DIV/0!</v>
      </c>
    </row>
    <row r="698" spans="1:9">
      <c r="A698" s="96"/>
      <c r="B698" s="102"/>
      <c r="C698" s="102"/>
      <c r="D698" s="102" t="s">
        <v>553</v>
      </c>
      <c r="E698" s="102"/>
      <c r="F698" s="102"/>
      <c r="G698" s="102"/>
      <c r="H698" s="102"/>
    </row>
    <row r="699" spans="1:9">
      <c r="A699" s="96"/>
      <c r="B699" s="102"/>
      <c r="C699" s="102"/>
      <c r="D699" s="102" t="s">
        <v>554</v>
      </c>
      <c r="E699" s="102"/>
      <c r="F699" s="102"/>
      <c r="G699" s="102"/>
      <c r="H699" s="102"/>
    </row>
    <row r="700" spans="1:9" ht="13.5" thickBot="1">
      <c r="A700" s="26"/>
      <c r="B700" s="4" t="s">
        <v>699</v>
      </c>
      <c r="C700" s="5" t="s">
        <v>700</v>
      </c>
      <c r="D700" s="6" t="s">
        <v>701</v>
      </c>
      <c r="E700" s="6" t="s">
        <v>702</v>
      </c>
      <c r="F700" s="6" t="s">
        <v>703</v>
      </c>
      <c r="G700" s="6" t="s">
        <v>704</v>
      </c>
      <c r="H700" s="7" t="s">
        <v>705</v>
      </c>
    </row>
    <row r="701" spans="1:9">
      <c r="A701" s="100">
        <v>1</v>
      </c>
      <c r="B701" s="98" t="s">
        <v>829</v>
      </c>
      <c r="C701" s="99"/>
      <c r="D701" s="11"/>
      <c r="E701" s="11"/>
      <c r="F701" s="11"/>
      <c r="G701" s="11"/>
      <c r="H701" s="12"/>
    </row>
    <row r="702" spans="1:9">
      <c r="A702" s="100" t="s">
        <v>706</v>
      </c>
      <c r="B702" s="101" t="s">
        <v>343</v>
      </c>
      <c r="C702" s="99">
        <v>50</v>
      </c>
      <c r="D702" s="11">
        <v>50</v>
      </c>
      <c r="E702" s="11">
        <v>50</v>
      </c>
      <c r="F702" s="11"/>
      <c r="G702" s="11">
        <v>0</v>
      </c>
      <c r="H702" s="15" t="e">
        <v>#DIV/0!</v>
      </c>
    </row>
    <row r="703" spans="1:9">
      <c r="A703" s="97">
        <v>2</v>
      </c>
      <c r="B703" s="98" t="s">
        <v>708</v>
      </c>
      <c r="C703" s="99"/>
      <c r="D703" s="11"/>
      <c r="E703" s="11"/>
      <c r="F703" s="11"/>
      <c r="G703" s="11"/>
      <c r="H703" s="15"/>
    </row>
    <row r="704" spans="1:9">
      <c r="A704" s="100" t="s">
        <v>706</v>
      </c>
      <c r="B704" s="101" t="s">
        <v>489</v>
      </c>
      <c r="C704" s="99">
        <v>85</v>
      </c>
      <c r="D704" s="11">
        <v>85</v>
      </c>
      <c r="E704" s="11">
        <v>85</v>
      </c>
      <c r="F704" s="11"/>
      <c r="G704" s="11">
        <v>0</v>
      </c>
      <c r="H704" s="15" t="e">
        <v>#DIV/0!</v>
      </c>
    </row>
    <row r="705" spans="1:8">
      <c r="A705" s="97">
        <v>3</v>
      </c>
      <c r="B705" s="98" t="s">
        <v>555</v>
      </c>
      <c r="C705" s="99"/>
      <c r="D705" s="11"/>
      <c r="E705" s="11"/>
      <c r="F705" s="11"/>
      <c r="G705" s="11"/>
      <c r="H705" s="15"/>
    </row>
    <row r="706" spans="1:8">
      <c r="A706" s="100" t="s">
        <v>706</v>
      </c>
      <c r="B706" s="101" t="s">
        <v>556</v>
      </c>
      <c r="C706" s="99">
        <v>100</v>
      </c>
      <c r="D706" s="11">
        <v>100</v>
      </c>
      <c r="E706" s="11">
        <v>100</v>
      </c>
      <c r="F706" s="11"/>
      <c r="G706" s="11"/>
      <c r="H706" s="15"/>
    </row>
    <row r="707" spans="1:8">
      <c r="A707" s="100">
        <v>4</v>
      </c>
      <c r="B707" s="98" t="s">
        <v>690</v>
      </c>
      <c r="C707" s="99"/>
      <c r="D707" s="11"/>
      <c r="E707" s="11"/>
      <c r="F707" s="11"/>
      <c r="G707" s="11">
        <v>0</v>
      </c>
      <c r="H707" s="15" t="e">
        <v>#DIV/0!</v>
      </c>
    </row>
    <row r="708" spans="1:8" ht="13.5" thickBot="1">
      <c r="A708" s="100" t="s">
        <v>706</v>
      </c>
      <c r="B708" s="101" t="s">
        <v>557</v>
      </c>
      <c r="C708" s="99">
        <v>16.989999999999998</v>
      </c>
      <c r="D708" s="11">
        <v>16.989999999999998</v>
      </c>
      <c r="E708" s="11">
        <v>16.989999999999998</v>
      </c>
      <c r="F708" s="11"/>
      <c r="G708" s="11"/>
      <c r="H708" s="15"/>
    </row>
    <row r="709" spans="1:8">
      <c r="A709" s="19"/>
      <c r="B709" s="17" t="s">
        <v>717</v>
      </c>
      <c r="C709" s="18">
        <f t="shared" ref="C709:H709" si="38">SUM(C702:C708)</f>
        <v>251.99</v>
      </c>
      <c r="D709" s="18">
        <f t="shared" si="38"/>
        <v>251.99</v>
      </c>
      <c r="E709" s="18">
        <f>SUM(E702:E708)</f>
        <v>251.99</v>
      </c>
      <c r="F709" s="18">
        <f t="shared" si="38"/>
        <v>0</v>
      </c>
      <c r="G709" s="18">
        <f t="shared" si="38"/>
        <v>0</v>
      </c>
      <c r="H709" s="18" t="e">
        <f t="shared" si="38"/>
        <v>#DIV/0!</v>
      </c>
    </row>
    <row r="710" spans="1:8" ht="13.5" thickBot="1">
      <c r="A710" s="26"/>
      <c r="B710" s="20" t="s">
        <v>718</v>
      </c>
      <c r="C710" s="21"/>
      <c r="D710" s="22"/>
      <c r="E710" s="22"/>
      <c r="F710" s="23"/>
      <c r="G710" s="24"/>
      <c r="H710" s="25"/>
    </row>
    <row r="711" spans="1:8" ht="13.5" thickBot="1">
      <c r="A711" s="26"/>
      <c r="B711" s="27" t="s">
        <v>719</v>
      </c>
      <c r="C711" s="28"/>
      <c r="D711" s="29"/>
      <c r="E711" s="29"/>
      <c r="F711" s="28"/>
      <c r="G711" s="30"/>
      <c r="H711" s="31"/>
    </row>
    <row r="712" spans="1:8">
      <c r="A712" s="96"/>
      <c r="B712" s="102"/>
      <c r="C712" s="102"/>
      <c r="D712" s="102" t="s">
        <v>553</v>
      </c>
      <c r="E712" s="102"/>
      <c r="F712" s="102"/>
      <c r="G712" s="102"/>
      <c r="H712" s="102"/>
    </row>
    <row r="713" spans="1:8">
      <c r="A713" s="96"/>
      <c r="B713" s="102"/>
      <c r="C713" s="102"/>
      <c r="D713" s="102" t="s">
        <v>558</v>
      </c>
      <c r="E713" s="102"/>
      <c r="F713" s="102"/>
      <c r="G713" s="102"/>
      <c r="H713" s="102"/>
    </row>
    <row r="714" spans="1:8" ht="13.5" thickBot="1">
      <c r="A714" s="26"/>
      <c r="B714" s="4" t="s">
        <v>699</v>
      </c>
      <c r="C714" s="5" t="s">
        <v>700</v>
      </c>
      <c r="D714" s="6" t="s">
        <v>701</v>
      </c>
      <c r="E714" s="6" t="s">
        <v>702</v>
      </c>
      <c r="F714" s="6" t="s">
        <v>703</v>
      </c>
      <c r="G714" s="6" t="s">
        <v>704</v>
      </c>
      <c r="H714" s="7" t="s">
        <v>705</v>
      </c>
    </row>
    <row r="715" spans="1:8">
      <c r="A715" s="100">
        <v>1</v>
      </c>
      <c r="B715" s="98" t="s">
        <v>698</v>
      </c>
      <c r="C715" s="99"/>
      <c r="D715" s="11"/>
      <c r="E715" s="11"/>
      <c r="F715" s="11"/>
      <c r="G715" s="11"/>
      <c r="H715" s="12"/>
    </row>
    <row r="716" spans="1:8">
      <c r="A716" s="100" t="s">
        <v>706</v>
      </c>
      <c r="B716" s="101" t="s">
        <v>374</v>
      </c>
      <c r="C716" s="99">
        <v>22.5</v>
      </c>
      <c r="D716" s="11">
        <v>22.5</v>
      </c>
      <c r="E716" s="11">
        <v>22.5</v>
      </c>
      <c r="F716" s="11">
        <f>7.2</f>
        <v>7.2</v>
      </c>
      <c r="G716" s="11">
        <f>E716-F716</f>
        <v>15.3</v>
      </c>
      <c r="H716" s="15" t="e">
        <v>#DIV/0!</v>
      </c>
    </row>
    <row r="717" spans="1:8">
      <c r="A717" s="97">
        <v>2</v>
      </c>
      <c r="B717" s="98" t="s">
        <v>559</v>
      </c>
      <c r="C717" s="99"/>
      <c r="D717" s="11"/>
      <c r="E717" s="11"/>
      <c r="F717" s="11"/>
      <c r="G717" s="11"/>
      <c r="H717" s="15"/>
    </row>
    <row r="718" spans="1:8">
      <c r="A718" s="97" t="s">
        <v>706</v>
      </c>
      <c r="B718" s="101" t="s">
        <v>560</v>
      </c>
      <c r="C718" s="99">
        <v>765</v>
      </c>
      <c r="D718" s="11">
        <v>765</v>
      </c>
      <c r="E718" s="11">
        <v>765</v>
      </c>
      <c r="F718" s="11">
        <f>731+25</f>
        <v>756</v>
      </c>
      <c r="G718" s="11">
        <f>E718-F718</f>
        <v>9</v>
      </c>
      <c r="H718" s="15"/>
    </row>
    <row r="719" spans="1:8">
      <c r="A719" s="100" t="s">
        <v>709</v>
      </c>
      <c r="B719" s="101" t="s">
        <v>561</v>
      </c>
      <c r="C719" s="99"/>
      <c r="D719" s="11"/>
      <c r="E719" s="11"/>
      <c r="F719" s="11"/>
      <c r="G719" s="11"/>
      <c r="H719" s="15"/>
    </row>
    <row r="720" spans="1:8">
      <c r="A720" s="100">
        <v>3</v>
      </c>
      <c r="B720" s="98" t="s">
        <v>562</v>
      </c>
      <c r="C720" s="99">
        <v>50</v>
      </c>
      <c r="D720" s="11">
        <v>50</v>
      </c>
      <c r="E720" s="11">
        <v>50</v>
      </c>
      <c r="F720" s="11">
        <f>50</f>
        <v>50</v>
      </c>
      <c r="G720" s="11">
        <v>0</v>
      </c>
      <c r="H720" s="15" t="e">
        <v>#DIV/0!</v>
      </c>
    </row>
    <row r="721" spans="1:8">
      <c r="A721" s="100" t="s">
        <v>706</v>
      </c>
      <c r="B721" s="101" t="s">
        <v>563</v>
      </c>
      <c r="C721" s="99">
        <v>250</v>
      </c>
      <c r="D721" s="11">
        <v>250</v>
      </c>
      <c r="E721" s="11">
        <v>250</v>
      </c>
      <c r="F721" s="11"/>
      <c r="G721" s="11"/>
      <c r="H721" s="15"/>
    </row>
    <row r="722" spans="1:8">
      <c r="A722" s="100" t="s">
        <v>709</v>
      </c>
      <c r="B722" s="101" t="s">
        <v>564</v>
      </c>
      <c r="C722" s="99"/>
      <c r="D722" s="11"/>
      <c r="E722" s="11"/>
      <c r="F722" s="11"/>
      <c r="G722" s="11"/>
      <c r="H722" s="103"/>
    </row>
    <row r="723" spans="1:8" ht="13.5" thickBot="1">
      <c r="A723" s="97" t="s">
        <v>710</v>
      </c>
      <c r="B723" s="101" t="s">
        <v>390</v>
      </c>
      <c r="C723" s="99">
        <v>30</v>
      </c>
      <c r="D723" s="11">
        <v>0</v>
      </c>
      <c r="E723" s="11">
        <v>0</v>
      </c>
      <c r="F723" s="11"/>
      <c r="G723" s="11"/>
      <c r="H723" s="103"/>
    </row>
    <row r="724" spans="1:8">
      <c r="A724" s="19"/>
      <c r="B724" s="17" t="s">
        <v>717</v>
      </c>
      <c r="C724" s="18">
        <f t="shared" ref="C724:H724" si="39">SUM(C716:C723)</f>
        <v>1117.5</v>
      </c>
      <c r="D724" s="18">
        <f t="shared" si="39"/>
        <v>1087.5</v>
      </c>
      <c r="E724" s="18">
        <f>SUM(E716:E723)</f>
        <v>1087.5</v>
      </c>
      <c r="F724" s="18">
        <f t="shared" si="39"/>
        <v>813.2</v>
      </c>
      <c r="G724" s="18">
        <f t="shared" si="39"/>
        <v>24.3</v>
      </c>
      <c r="H724" s="18" t="e">
        <f t="shared" si="39"/>
        <v>#DIV/0!</v>
      </c>
    </row>
    <row r="725" spans="1:8" ht="13.5" thickBot="1">
      <c r="A725" s="26"/>
      <c r="B725" s="20" t="s">
        <v>718</v>
      </c>
      <c r="C725" s="21"/>
      <c r="D725" s="22"/>
      <c r="E725" s="22"/>
      <c r="F725" s="23"/>
      <c r="G725" s="24"/>
      <c r="H725" s="25"/>
    </row>
    <row r="726" spans="1:8" ht="13.5" thickBot="1">
      <c r="A726" s="3"/>
      <c r="B726" s="27" t="s">
        <v>719</v>
      </c>
      <c r="C726" s="28"/>
      <c r="D726" s="29"/>
      <c r="E726" s="29"/>
      <c r="F726" s="28"/>
      <c r="G726" s="30"/>
      <c r="H726" s="31"/>
    </row>
    <row r="727" spans="1:8" ht="13.5" thickBot="1">
      <c r="A727" s="3"/>
      <c r="B727" s="102"/>
      <c r="C727" s="102"/>
      <c r="D727" s="102" t="s">
        <v>391</v>
      </c>
      <c r="E727" s="102"/>
      <c r="F727" s="102"/>
      <c r="G727" s="102"/>
      <c r="H727" s="102"/>
    </row>
    <row r="728" spans="1:8" ht="13.5" thickBot="1">
      <c r="A728" s="3"/>
      <c r="B728" s="4" t="s">
        <v>699</v>
      </c>
      <c r="C728" s="5" t="s">
        <v>700</v>
      </c>
      <c r="D728" s="6" t="s">
        <v>701</v>
      </c>
      <c r="E728" s="6" t="s">
        <v>702</v>
      </c>
      <c r="F728" s="6" t="s">
        <v>703</v>
      </c>
      <c r="G728" s="6" t="s">
        <v>704</v>
      </c>
      <c r="H728" s="7" t="s">
        <v>705</v>
      </c>
    </row>
    <row r="729" spans="1:8">
      <c r="A729" s="100">
        <v>1</v>
      </c>
      <c r="B729" s="98" t="s">
        <v>698</v>
      </c>
      <c r="C729" s="99"/>
      <c r="D729" s="11"/>
      <c r="E729" s="11"/>
      <c r="F729" s="11"/>
      <c r="G729" s="11"/>
      <c r="H729" s="12"/>
    </row>
    <row r="730" spans="1:8">
      <c r="A730" s="100" t="s">
        <v>706</v>
      </c>
      <c r="B730" s="101" t="s">
        <v>374</v>
      </c>
      <c r="C730" s="99">
        <v>27</v>
      </c>
      <c r="D730" s="11">
        <v>27</v>
      </c>
      <c r="E730" s="11">
        <v>27</v>
      </c>
      <c r="F730" s="11"/>
      <c r="G730" s="11">
        <v>0</v>
      </c>
      <c r="H730" s="15" t="e">
        <v>#DIV/0!</v>
      </c>
    </row>
    <row r="731" spans="1:8">
      <c r="A731" s="97">
        <v>2</v>
      </c>
      <c r="B731" s="98" t="s">
        <v>392</v>
      </c>
      <c r="C731" s="99"/>
      <c r="D731" s="11"/>
      <c r="E731" s="11"/>
      <c r="F731" s="11"/>
      <c r="G731" s="11"/>
      <c r="H731" s="15"/>
    </row>
    <row r="732" spans="1:8">
      <c r="A732" s="97" t="s">
        <v>706</v>
      </c>
      <c r="B732" s="101" t="s">
        <v>393</v>
      </c>
      <c r="C732" s="99">
        <v>100</v>
      </c>
      <c r="D732" s="11">
        <v>100</v>
      </c>
      <c r="E732" s="11">
        <v>100</v>
      </c>
      <c r="F732" s="11"/>
      <c r="G732" s="11"/>
      <c r="H732" s="15"/>
    </row>
    <row r="733" spans="1:8">
      <c r="A733" s="100" t="s">
        <v>709</v>
      </c>
      <c r="B733" s="101" t="s">
        <v>394</v>
      </c>
      <c r="C733" s="99">
        <v>100</v>
      </c>
      <c r="D733" s="11">
        <v>0</v>
      </c>
      <c r="E733" s="11">
        <v>0</v>
      </c>
      <c r="F733" s="11"/>
      <c r="G733" s="11"/>
      <c r="H733" s="15"/>
    </row>
    <row r="734" spans="1:8">
      <c r="A734" s="100">
        <v>4</v>
      </c>
      <c r="B734" s="98" t="s">
        <v>395</v>
      </c>
      <c r="C734" s="99">
        <v>50</v>
      </c>
      <c r="D734" s="11">
        <v>50</v>
      </c>
      <c r="E734" s="11">
        <v>50</v>
      </c>
      <c r="F734" s="11"/>
      <c r="G734" s="11">
        <v>0</v>
      </c>
      <c r="H734" s="15" t="e">
        <v>#DIV/0!</v>
      </c>
    </row>
    <row r="735" spans="1:8" ht="13.5" thickBot="1">
      <c r="A735">
        <v>5</v>
      </c>
      <c r="B735" s="101" t="s">
        <v>396</v>
      </c>
      <c r="C735" s="99">
        <v>100</v>
      </c>
      <c r="D735" s="11">
        <v>100</v>
      </c>
      <c r="E735" s="11">
        <v>100</v>
      </c>
      <c r="F735" s="11"/>
      <c r="G735" s="11"/>
      <c r="H735" s="15"/>
    </row>
    <row r="736" spans="1:8">
      <c r="A736" s="19"/>
      <c r="B736" s="17" t="s">
        <v>717</v>
      </c>
      <c r="C736" s="18">
        <f t="shared" ref="C736:H736" si="40">SUM(C730:C735)</f>
        <v>377</v>
      </c>
      <c r="D736" s="18">
        <f t="shared" si="40"/>
        <v>277</v>
      </c>
      <c r="E736" s="18">
        <f>SUM(E730:E735)</f>
        <v>277</v>
      </c>
      <c r="F736" s="18">
        <f t="shared" si="40"/>
        <v>0</v>
      </c>
      <c r="G736" s="18">
        <f t="shared" si="40"/>
        <v>0</v>
      </c>
      <c r="H736" s="18" t="e">
        <f t="shared" si="40"/>
        <v>#DIV/0!</v>
      </c>
    </row>
    <row r="737" spans="1:8" ht="13.5" thickBot="1">
      <c r="A737" s="26"/>
      <c r="B737" s="20" t="s">
        <v>718</v>
      </c>
      <c r="C737" s="21"/>
      <c r="D737" s="22"/>
      <c r="E737" s="22"/>
      <c r="F737" s="23"/>
      <c r="G737" s="24"/>
      <c r="H737" s="25"/>
    </row>
    <row r="738" spans="1:8" ht="13.5" thickBot="1">
      <c r="A738" s="3"/>
      <c r="B738" s="27" t="s">
        <v>719</v>
      </c>
      <c r="C738" s="28"/>
      <c r="D738" s="29"/>
      <c r="E738" s="29"/>
      <c r="F738" s="28"/>
      <c r="G738" s="30"/>
      <c r="H738" s="31"/>
    </row>
    <row r="739" spans="1:8">
      <c r="A739" s="33"/>
      <c r="B739" s="35" t="s">
        <v>247</v>
      </c>
      <c r="C739" s="34">
        <f t="shared" ref="C739:H739" si="41">SUM(C709,C724,C736)</f>
        <v>1746.49</v>
      </c>
      <c r="D739" s="34">
        <f t="shared" si="41"/>
        <v>1616.49</v>
      </c>
      <c r="E739" s="34">
        <f>SUM(E709,E724,E736)</f>
        <v>1616.49</v>
      </c>
      <c r="F739" s="34">
        <f t="shared" si="41"/>
        <v>813.2</v>
      </c>
      <c r="G739" s="34">
        <f t="shared" si="41"/>
        <v>24.3</v>
      </c>
      <c r="H739" s="34" t="e">
        <f t="shared" si="41"/>
        <v>#DIV/0!</v>
      </c>
    </row>
    <row r="740" spans="1:8">
      <c r="A740" s="96"/>
      <c r="B740" s="102"/>
      <c r="C740" s="102"/>
      <c r="D740" s="102" t="s">
        <v>397</v>
      </c>
      <c r="E740" s="102"/>
      <c r="F740" s="102"/>
      <c r="G740" s="102"/>
      <c r="H740" s="102"/>
    </row>
    <row r="741" spans="1:8">
      <c r="A741" s="96"/>
      <c r="B741" s="102"/>
      <c r="C741" s="102"/>
      <c r="D741" s="102" t="s">
        <v>398</v>
      </c>
      <c r="E741" s="102"/>
      <c r="F741" s="102"/>
      <c r="G741" s="102"/>
      <c r="H741" s="102"/>
    </row>
    <row r="742" spans="1:8" ht="13.5" thickBot="1">
      <c r="A742" s="3"/>
      <c r="B742" s="4" t="s">
        <v>699</v>
      </c>
      <c r="C742" s="5" t="s">
        <v>700</v>
      </c>
      <c r="D742" s="6" t="s">
        <v>701</v>
      </c>
      <c r="E742" s="6" t="s">
        <v>702</v>
      </c>
      <c r="F742" s="6" t="s">
        <v>703</v>
      </c>
      <c r="G742" s="6" t="s">
        <v>704</v>
      </c>
      <c r="H742" s="7" t="s">
        <v>705</v>
      </c>
    </row>
    <row r="743" spans="1:8">
      <c r="A743" s="100">
        <v>1</v>
      </c>
      <c r="B743" s="98" t="s">
        <v>399</v>
      </c>
      <c r="C743" s="99"/>
      <c r="D743" s="11"/>
      <c r="E743" s="11"/>
      <c r="F743" s="11"/>
      <c r="G743" s="11"/>
      <c r="H743" s="12"/>
    </row>
    <row r="744" spans="1:8">
      <c r="A744" s="100" t="s">
        <v>706</v>
      </c>
      <c r="B744" s="101" t="s">
        <v>399</v>
      </c>
      <c r="C744" s="99">
        <v>3500</v>
      </c>
      <c r="D744" s="11">
        <v>1300</v>
      </c>
      <c r="E744" s="11">
        <v>1300</v>
      </c>
      <c r="F744" s="11">
        <f>554.32+61.34+86.84+73.31+99.64+84.88+5.38+160.98+122.92</f>
        <v>1249.6100000000001</v>
      </c>
      <c r="G744" s="11">
        <v>0</v>
      </c>
      <c r="H744" s="15" t="e">
        <v>#DIV/0!</v>
      </c>
    </row>
    <row r="745" spans="1:8">
      <c r="A745" s="100" t="s">
        <v>709</v>
      </c>
      <c r="B745" s="101" t="s">
        <v>400</v>
      </c>
      <c r="C745" s="99">
        <v>350</v>
      </c>
      <c r="D745" s="11">
        <v>0</v>
      </c>
      <c r="E745" s="11">
        <v>0</v>
      </c>
      <c r="F745" s="11"/>
      <c r="G745" s="11"/>
      <c r="H745" s="15"/>
    </row>
    <row r="746" spans="1:8">
      <c r="A746" s="100" t="s">
        <v>710</v>
      </c>
      <c r="B746" s="101" t="s">
        <v>401</v>
      </c>
      <c r="C746" s="99">
        <v>150</v>
      </c>
      <c r="D746" s="11">
        <v>150</v>
      </c>
      <c r="E746" s="11">
        <v>150</v>
      </c>
      <c r="F746" s="11"/>
      <c r="G746" s="11"/>
      <c r="H746" s="15"/>
    </row>
    <row r="747" spans="1:8">
      <c r="A747" s="97">
        <v>2</v>
      </c>
      <c r="B747" s="98" t="s">
        <v>580</v>
      </c>
      <c r="C747" s="99"/>
      <c r="D747" s="11"/>
      <c r="E747" s="11"/>
      <c r="F747" s="11"/>
      <c r="G747" s="11"/>
      <c r="H747" s="15"/>
    </row>
    <row r="748" spans="1:8">
      <c r="A748" s="97" t="s">
        <v>706</v>
      </c>
      <c r="B748" s="101" t="s">
        <v>581</v>
      </c>
      <c r="C748" s="99">
        <v>800</v>
      </c>
      <c r="D748" s="11">
        <v>800</v>
      </c>
      <c r="E748" s="11">
        <v>800</v>
      </c>
      <c r="F748" s="11">
        <f>800</f>
        <v>800</v>
      </c>
      <c r="G748" s="11"/>
      <c r="H748" s="15"/>
    </row>
    <row r="749" spans="1:8">
      <c r="A749" s="97" t="s">
        <v>709</v>
      </c>
      <c r="B749" s="101" t="s">
        <v>582</v>
      </c>
      <c r="C749" s="99">
        <v>200</v>
      </c>
      <c r="D749" s="11">
        <v>200</v>
      </c>
      <c r="E749" s="11">
        <v>200</v>
      </c>
      <c r="F749" s="11">
        <f>200</f>
        <v>200</v>
      </c>
      <c r="G749" s="11"/>
      <c r="H749" s="15"/>
    </row>
    <row r="750" spans="1:8">
      <c r="A750" s="97">
        <v>3</v>
      </c>
      <c r="B750" s="98" t="s">
        <v>583</v>
      </c>
      <c r="C750" s="99"/>
      <c r="D750" s="11"/>
      <c r="E750" s="11"/>
      <c r="F750" s="11"/>
      <c r="G750" s="11"/>
      <c r="H750" s="15"/>
    </row>
    <row r="751" spans="1:8">
      <c r="A751" s="100" t="s">
        <v>706</v>
      </c>
      <c r="B751" s="101" t="s">
        <v>584</v>
      </c>
      <c r="C751" s="99">
        <v>400</v>
      </c>
      <c r="D751" s="11">
        <v>400</v>
      </c>
      <c r="E751" s="11">
        <v>400</v>
      </c>
      <c r="F751" s="11">
        <f>400</f>
        <v>400</v>
      </c>
      <c r="G751" s="11"/>
      <c r="H751" s="15"/>
    </row>
    <row r="752" spans="1:8">
      <c r="A752" s="100" t="s">
        <v>709</v>
      </c>
      <c r="B752" s="101" t="s">
        <v>585</v>
      </c>
      <c r="C752" s="99">
        <v>400</v>
      </c>
      <c r="D752" s="11">
        <v>400</v>
      </c>
      <c r="E752" s="11">
        <v>400</v>
      </c>
      <c r="F752" s="11">
        <f>400</f>
        <v>400</v>
      </c>
      <c r="G752" s="11">
        <v>0</v>
      </c>
      <c r="H752" s="15" t="e">
        <v>#DIV/0!</v>
      </c>
    </row>
    <row r="753" spans="1:8">
      <c r="A753" s="100">
        <v>4</v>
      </c>
      <c r="B753" s="98" t="s">
        <v>586</v>
      </c>
      <c r="C753" s="99">
        <v>2800</v>
      </c>
      <c r="D753" s="11">
        <v>2800</v>
      </c>
      <c r="E753" s="11">
        <v>2800</v>
      </c>
      <c r="F753" s="11">
        <f>2800</f>
        <v>2800</v>
      </c>
      <c r="G753" s="11"/>
      <c r="H753" s="15"/>
    </row>
    <row r="754" spans="1:8">
      <c r="A754" s="100">
        <v>5</v>
      </c>
      <c r="B754" s="98" t="s">
        <v>698</v>
      </c>
      <c r="C754" s="99">
        <v>40</v>
      </c>
      <c r="D754" s="11">
        <v>9</v>
      </c>
      <c r="E754" s="11">
        <v>9</v>
      </c>
      <c r="F754" s="11"/>
      <c r="G754" s="11"/>
      <c r="H754" s="103"/>
    </row>
    <row r="755" spans="1:8">
      <c r="A755" s="100">
        <v>6</v>
      </c>
      <c r="B755" s="98" t="s">
        <v>587</v>
      </c>
      <c r="C755" s="99"/>
      <c r="D755" s="11"/>
      <c r="E755" s="11"/>
      <c r="F755" s="11"/>
      <c r="G755" s="11"/>
      <c r="H755" s="103"/>
    </row>
    <row r="756" spans="1:8">
      <c r="A756" s="100" t="s">
        <v>706</v>
      </c>
      <c r="B756" s="101" t="s">
        <v>711</v>
      </c>
      <c r="C756" s="99">
        <v>350</v>
      </c>
      <c r="D756" s="11">
        <v>350</v>
      </c>
      <c r="E756" s="11">
        <v>350</v>
      </c>
      <c r="F756" s="11"/>
      <c r="G756" s="11"/>
      <c r="H756" s="103"/>
    </row>
    <row r="757" spans="1:8">
      <c r="A757" s="100" t="s">
        <v>709</v>
      </c>
      <c r="B757" s="101" t="s">
        <v>698</v>
      </c>
      <c r="C757" s="99">
        <v>10</v>
      </c>
      <c r="D757" s="11">
        <v>9</v>
      </c>
      <c r="E757" s="11">
        <v>9</v>
      </c>
      <c r="F757" s="11"/>
      <c r="G757" s="11"/>
      <c r="H757" s="103"/>
    </row>
    <row r="758" spans="1:8">
      <c r="A758" s="100">
        <v>7</v>
      </c>
      <c r="B758" s="98" t="s">
        <v>588</v>
      </c>
      <c r="C758" s="99"/>
      <c r="D758" s="11"/>
      <c r="E758" s="11"/>
      <c r="F758" s="11"/>
      <c r="G758" s="11"/>
      <c r="H758" s="103"/>
    </row>
    <row r="759" spans="1:8">
      <c r="A759" s="100" t="s">
        <v>706</v>
      </c>
      <c r="B759" s="98" t="s">
        <v>698</v>
      </c>
      <c r="C759" s="99">
        <v>30</v>
      </c>
      <c r="D759" s="11">
        <v>27</v>
      </c>
      <c r="E759" s="11">
        <v>27</v>
      </c>
      <c r="F759" s="11"/>
      <c r="G759" s="11"/>
      <c r="H759" s="103"/>
    </row>
    <row r="760" spans="1:8">
      <c r="A760" s="100">
        <v>8</v>
      </c>
      <c r="B760" s="98" t="s">
        <v>589</v>
      </c>
      <c r="C760" s="99"/>
      <c r="D760" s="11"/>
      <c r="E760" s="11"/>
      <c r="F760" s="11"/>
      <c r="G760" s="11"/>
      <c r="H760" s="103"/>
    </row>
    <row r="761" spans="1:8">
      <c r="A761" s="100" t="s">
        <v>706</v>
      </c>
      <c r="B761" s="98" t="s">
        <v>590</v>
      </c>
      <c r="C761" s="99">
        <v>120</v>
      </c>
      <c r="D761" s="11">
        <v>120</v>
      </c>
      <c r="E761" s="11">
        <v>120</v>
      </c>
      <c r="F761" s="11">
        <f>95.68</f>
        <v>95.68</v>
      </c>
      <c r="G761" s="11"/>
      <c r="H761" s="103"/>
    </row>
    <row r="762" spans="1:8" ht="13.5" thickBot="1">
      <c r="A762" s="100" t="s">
        <v>709</v>
      </c>
      <c r="B762" s="98" t="s">
        <v>251</v>
      </c>
      <c r="C762" s="99">
        <v>50</v>
      </c>
      <c r="D762" s="11">
        <v>50</v>
      </c>
      <c r="E762" s="11">
        <v>50</v>
      </c>
      <c r="F762" s="11"/>
      <c r="G762" s="11"/>
      <c r="H762" s="103"/>
    </row>
    <row r="763" spans="1:8">
      <c r="A763" s="19"/>
      <c r="B763" s="17" t="s">
        <v>717</v>
      </c>
      <c r="C763" s="18">
        <f>C744+C745+C746+C748+C749+C751+C753+C754+C756+C757+C759+C761+C762+C752</f>
        <v>9200</v>
      </c>
      <c r="D763" s="18">
        <f>SUM(D744:D762)</f>
        <v>6615</v>
      </c>
      <c r="E763" s="18">
        <f>SUM(E744:E762)</f>
        <v>6615</v>
      </c>
      <c r="F763" s="18">
        <v>0</v>
      </c>
      <c r="G763" s="18">
        <v>0</v>
      </c>
      <c r="H763" s="18" t="e">
        <v>#DIV/0!</v>
      </c>
    </row>
    <row r="764" spans="1:8" ht="13.5" thickBot="1">
      <c r="A764" s="26"/>
      <c r="B764" s="20" t="s">
        <v>718</v>
      </c>
      <c r="C764" s="21"/>
      <c r="D764" s="22"/>
      <c r="E764" s="22"/>
      <c r="F764" s="23"/>
      <c r="G764" s="24"/>
      <c r="H764" s="25"/>
    </row>
    <row r="765" spans="1:8" ht="13.5" thickBot="1">
      <c r="A765" s="96"/>
      <c r="B765" s="27" t="s">
        <v>719</v>
      </c>
      <c r="C765" s="28"/>
      <c r="D765" s="29"/>
      <c r="E765" s="29"/>
      <c r="F765" s="28"/>
      <c r="G765" s="30"/>
      <c r="H765" s="31"/>
    </row>
    <row r="766" spans="1:8" ht="13.5" thickBot="1">
      <c r="A766" s="3"/>
      <c r="B766" s="102"/>
      <c r="C766" s="102"/>
      <c r="D766" s="102" t="s">
        <v>252</v>
      </c>
      <c r="E766" s="102"/>
      <c r="F766" s="102"/>
      <c r="G766" s="102"/>
      <c r="H766" s="102"/>
    </row>
    <row r="767" spans="1:8" ht="13.5" thickBot="1">
      <c r="A767" s="97">
        <v>1</v>
      </c>
      <c r="B767" s="4" t="s">
        <v>699</v>
      </c>
      <c r="C767" s="5" t="s">
        <v>700</v>
      </c>
      <c r="D767" s="6" t="s">
        <v>701</v>
      </c>
      <c r="E767" s="6" t="s">
        <v>702</v>
      </c>
      <c r="F767" s="6" t="s">
        <v>703</v>
      </c>
      <c r="G767" s="6" t="s">
        <v>704</v>
      </c>
      <c r="H767" s="7" t="s">
        <v>705</v>
      </c>
    </row>
    <row r="768" spans="1:8">
      <c r="A768" s="100" t="s">
        <v>706</v>
      </c>
      <c r="B768" s="98" t="s">
        <v>253</v>
      </c>
      <c r="C768" s="99"/>
      <c r="D768" s="11"/>
      <c r="E768" s="11"/>
      <c r="F768" s="11"/>
      <c r="G768" s="11"/>
      <c r="H768" s="12"/>
    </row>
    <row r="769" spans="1:8">
      <c r="A769" s="100" t="s">
        <v>709</v>
      </c>
      <c r="B769" s="101" t="s">
        <v>346</v>
      </c>
      <c r="C769" s="99">
        <v>60</v>
      </c>
      <c r="D769" s="11">
        <v>0</v>
      </c>
      <c r="E769" s="11">
        <v>0</v>
      </c>
      <c r="F769" s="11"/>
      <c r="G769" s="11">
        <v>0</v>
      </c>
      <c r="H769" s="15" t="e">
        <v>#DIV/0!</v>
      </c>
    </row>
    <row r="770" spans="1:8">
      <c r="A770" s="100">
        <v>2</v>
      </c>
      <c r="B770" s="101" t="s">
        <v>698</v>
      </c>
      <c r="C770" s="99">
        <v>9</v>
      </c>
      <c r="D770" s="11">
        <v>9</v>
      </c>
      <c r="E770" s="11">
        <v>9</v>
      </c>
      <c r="F770" s="11"/>
      <c r="G770" s="11"/>
      <c r="H770" s="15"/>
    </row>
    <row r="771" spans="1:8">
      <c r="A771" s="97" t="s">
        <v>706</v>
      </c>
      <c r="B771" s="101" t="s">
        <v>254</v>
      </c>
      <c r="C771" s="99"/>
      <c r="D771" s="11"/>
      <c r="E771" s="11"/>
      <c r="F771" s="11"/>
      <c r="G771" s="11"/>
      <c r="H771" s="15"/>
    </row>
    <row r="772" spans="1:8">
      <c r="A772" s="97" t="s">
        <v>709</v>
      </c>
      <c r="B772" s="101" t="s">
        <v>255</v>
      </c>
      <c r="C772" s="99">
        <v>80</v>
      </c>
      <c r="D772" s="11">
        <v>80</v>
      </c>
      <c r="E772" s="11">
        <v>80</v>
      </c>
      <c r="F772" s="11"/>
      <c r="G772" s="11"/>
      <c r="H772" s="15"/>
    </row>
    <row r="773" spans="1:8">
      <c r="A773" s="97">
        <v>3</v>
      </c>
      <c r="B773" s="101" t="s">
        <v>256</v>
      </c>
      <c r="C773" s="99">
        <v>9</v>
      </c>
      <c r="D773" s="11">
        <v>9</v>
      </c>
      <c r="E773" s="11">
        <v>9</v>
      </c>
      <c r="F773" s="11"/>
      <c r="G773" s="11"/>
      <c r="H773" s="15"/>
    </row>
    <row r="774" spans="1:8">
      <c r="A774" s="97" t="s">
        <v>706</v>
      </c>
      <c r="B774" s="98" t="s">
        <v>257</v>
      </c>
      <c r="C774" s="99"/>
      <c r="D774" s="11"/>
      <c r="E774" s="11"/>
      <c r="F774" s="11"/>
      <c r="G774" s="11"/>
      <c r="H774" s="15"/>
    </row>
    <row r="775" spans="1:8">
      <c r="A775" s="100" t="s">
        <v>709</v>
      </c>
      <c r="B775" s="101" t="s">
        <v>346</v>
      </c>
      <c r="C775" s="99">
        <v>60</v>
      </c>
      <c r="D775" s="11">
        <v>0</v>
      </c>
      <c r="E775" s="11">
        <v>0</v>
      </c>
      <c r="F775" s="11"/>
      <c r="G775" s="11"/>
      <c r="H775" s="15"/>
    </row>
    <row r="776" spans="1:8">
      <c r="A776" s="100">
        <v>4</v>
      </c>
      <c r="B776" s="101" t="s">
        <v>698</v>
      </c>
      <c r="C776" s="99">
        <v>9</v>
      </c>
      <c r="D776" s="11">
        <v>9</v>
      </c>
      <c r="E776" s="11">
        <v>9</v>
      </c>
      <c r="F776" s="11"/>
      <c r="G776" s="11"/>
      <c r="H776" s="15"/>
    </row>
    <row r="777" spans="1:8">
      <c r="A777" s="100" t="s">
        <v>706</v>
      </c>
      <c r="B777" s="98" t="s">
        <v>258</v>
      </c>
      <c r="C777" s="99"/>
      <c r="D777" s="11"/>
      <c r="E777" s="11"/>
      <c r="F777" s="11"/>
      <c r="G777" s="11">
        <v>0</v>
      </c>
      <c r="H777" s="15" t="e">
        <v>#DIV/0!</v>
      </c>
    </row>
    <row r="778" spans="1:8" ht="13.5" thickBot="1">
      <c r="A778" s="100" t="s">
        <v>709</v>
      </c>
      <c r="B778" s="98" t="s">
        <v>698</v>
      </c>
      <c r="C778" s="99">
        <v>9</v>
      </c>
      <c r="D778" s="11">
        <v>9</v>
      </c>
      <c r="E778" s="11">
        <v>9</v>
      </c>
      <c r="F778" s="11"/>
      <c r="G778" s="11"/>
      <c r="H778" s="15"/>
    </row>
    <row r="779" spans="1:8" ht="13.5" thickBot="1">
      <c r="A779" s="26"/>
      <c r="B779" s="17" t="s">
        <v>717</v>
      </c>
      <c r="C779" s="18">
        <f>SUM(C769:C778)</f>
        <v>236</v>
      </c>
      <c r="D779" s="18">
        <f>SUM(D769:D778)</f>
        <v>116</v>
      </c>
      <c r="E779" s="18">
        <f>SUM(E769:E778)</f>
        <v>116</v>
      </c>
      <c r="F779" s="18">
        <v>0</v>
      </c>
      <c r="G779" s="18">
        <v>0</v>
      </c>
      <c r="H779" s="18" t="e">
        <v>#DIV/0!</v>
      </c>
    </row>
    <row r="780" spans="1:8">
      <c r="A780" s="19"/>
      <c r="B780" s="20" t="s">
        <v>718</v>
      </c>
      <c r="C780" s="21"/>
      <c r="D780" s="22"/>
      <c r="E780" s="22"/>
      <c r="F780" s="23"/>
      <c r="G780" s="24"/>
      <c r="H780" s="25"/>
    </row>
    <row r="781" spans="1:8" ht="13.5" thickBot="1">
      <c r="A781" s="26"/>
      <c r="B781" s="27" t="s">
        <v>719</v>
      </c>
      <c r="C781" s="28"/>
      <c r="D781" s="29"/>
      <c r="E781" s="29"/>
      <c r="F781" s="28"/>
      <c r="G781" s="30"/>
      <c r="H781" s="31"/>
    </row>
    <row r="782" spans="1:8" ht="25.5">
      <c r="A782" s="96"/>
      <c r="B782" s="102"/>
      <c r="C782" s="102"/>
      <c r="D782" s="102" t="s">
        <v>259</v>
      </c>
      <c r="E782" s="102"/>
      <c r="F782" s="102"/>
      <c r="G782" s="102"/>
      <c r="H782" s="102"/>
    </row>
    <row r="783" spans="1:8" ht="13.5" thickBot="1">
      <c r="A783" s="19"/>
      <c r="B783" s="4" t="s">
        <v>699</v>
      </c>
      <c r="C783" s="5" t="s">
        <v>700</v>
      </c>
      <c r="D783" s="6" t="s">
        <v>701</v>
      </c>
      <c r="E783" s="6" t="s">
        <v>702</v>
      </c>
      <c r="F783" s="6" t="s">
        <v>703</v>
      </c>
      <c r="G783" s="6" t="s">
        <v>704</v>
      </c>
      <c r="H783" s="7" t="s">
        <v>705</v>
      </c>
    </row>
    <row r="784" spans="1:8">
      <c r="A784" s="100">
        <v>1</v>
      </c>
      <c r="B784" s="98" t="s">
        <v>829</v>
      </c>
      <c r="C784" s="99"/>
      <c r="D784" s="11"/>
      <c r="E784" s="11"/>
      <c r="F784" s="11"/>
      <c r="G784" s="11"/>
      <c r="H784" s="12"/>
    </row>
    <row r="785" spans="1:8">
      <c r="A785" s="100" t="s">
        <v>706</v>
      </c>
      <c r="B785" s="101" t="s">
        <v>711</v>
      </c>
      <c r="C785" s="99">
        <v>50</v>
      </c>
      <c r="D785" s="11">
        <v>50</v>
      </c>
      <c r="E785" s="11">
        <v>50</v>
      </c>
      <c r="F785" s="11">
        <f>46.47</f>
        <v>46.47</v>
      </c>
      <c r="G785" s="11">
        <v>0</v>
      </c>
      <c r="H785" s="15" t="e">
        <v>#DIV/0!</v>
      </c>
    </row>
    <row r="786" spans="1:8">
      <c r="A786" s="100" t="s">
        <v>709</v>
      </c>
      <c r="B786" s="101" t="s">
        <v>698</v>
      </c>
      <c r="C786" s="99">
        <v>9</v>
      </c>
      <c r="D786" s="11">
        <v>9</v>
      </c>
      <c r="E786" s="11">
        <v>9</v>
      </c>
      <c r="F786" s="11"/>
      <c r="G786" s="11"/>
      <c r="H786" s="15"/>
    </row>
    <row r="787" spans="1:8">
      <c r="A787" s="97">
        <v>2</v>
      </c>
      <c r="B787" s="98" t="s">
        <v>317</v>
      </c>
      <c r="C787" s="99"/>
      <c r="D787" s="11"/>
      <c r="E787" s="11"/>
      <c r="F787" s="11"/>
      <c r="G787" s="11"/>
      <c r="H787" s="15"/>
    </row>
    <row r="788" spans="1:8">
      <c r="A788" s="97" t="s">
        <v>706</v>
      </c>
      <c r="B788" s="101" t="s">
        <v>345</v>
      </c>
      <c r="C788" s="99">
        <v>209</v>
      </c>
      <c r="D788" s="11">
        <v>209</v>
      </c>
      <c r="E788" s="11">
        <v>209</v>
      </c>
      <c r="F788" s="11">
        <f>209</f>
        <v>209</v>
      </c>
      <c r="G788" s="11">
        <v>0</v>
      </c>
      <c r="H788" s="15"/>
    </row>
    <row r="789" spans="1:8">
      <c r="A789" s="97">
        <v>3</v>
      </c>
      <c r="B789" s="98" t="s">
        <v>318</v>
      </c>
      <c r="C789" s="99"/>
      <c r="D789" s="11"/>
      <c r="E789" s="11"/>
      <c r="F789" s="11"/>
      <c r="G789" s="11"/>
      <c r="H789" s="15"/>
    </row>
    <row r="790" spans="1:8">
      <c r="A790" s="97" t="s">
        <v>706</v>
      </c>
      <c r="B790" s="101" t="s">
        <v>345</v>
      </c>
      <c r="C790" s="99">
        <v>209</v>
      </c>
      <c r="D790" s="11">
        <v>209</v>
      </c>
      <c r="E790" s="11">
        <v>209</v>
      </c>
      <c r="F790" s="11">
        <f>209</f>
        <v>209</v>
      </c>
      <c r="G790" s="11">
        <v>0</v>
      </c>
      <c r="H790" s="15"/>
    </row>
    <row r="791" spans="1:8" ht="25.5">
      <c r="A791" s="100">
        <v>4</v>
      </c>
      <c r="B791" s="98" t="s">
        <v>134</v>
      </c>
      <c r="C791" s="99"/>
      <c r="D791" s="11"/>
      <c r="E791" s="11"/>
      <c r="F791" s="11"/>
      <c r="G791" s="11"/>
      <c r="H791" s="15"/>
    </row>
    <row r="792" spans="1:8">
      <c r="A792" s="100" t="s">
        <v>706</v>
      </c>
      <c r="B792" s="101" t="s">
        <v>345</v>
      </c>
      <c r="C792" s="99">
        <v>209</v>
      </c>
      <c r="D792" s="11">
        <v>209</v>
      </c>
      <c r="E792" s="11">
        <v>209</v>
      </c>
      <c r="F792" s="11">
        <f>209</f>
        <v>209</v>
      </c>
      <c r="G792" s="11">
        <f>0</f>
        <v>0</v>
      </c>
      <c r="H792" s="15"/>
    </row>
    <row r="793" spans="1:8">
      <c r="A793" s="100">
        <v>5</v>
      </c>
      <c r="B793" s="98" t="s">
        <v>316</v>
      </c>
      <c r="C793" s="99"/>
      <c r="D793" s="11"/>
      <c r="E793" s="11"/>
      <c r="F793" s="11"/>
      <c r="G793" s="11">
        <v>0</v>
      </c>
      <c r="H793" s="15" t="e">
        <v>#DIV/0!</v>
      </c>
    </row>
    <row r="794" spans="1:8">
      <c r="A794" s="100" t="s">
        <v>706</v>
      </c>
      <c r="B794" s="101" t="s">
        <v>345</v>
      </c>
      <c r="C794" s="99">
        <v>1800</v>
      </c>
      <c r="D794" s="11">
        <v>900</v>
      </c>
      <c r="E794" s="11">
        <v>900</v>
      </c>
      <c r="F794" s="11"/>
      <c r="G794" s="11"/>
      <c r="H794" s="15"/>
    </row>
    <row r="795" spans="1:8">
      <c r="A795" s="100">
        <v>6</v>
      </c>
      <c r="B795" s="98" t="s">
        <v>260</v>
      </c>
      <c r="C795" s="99"/>
      <c r="D795" s="11"/>
      <c r="E795" s="11"/>
      <c r="F795" s="11"/>
      <c r="G795" s="11"/>
      <c r="H795" s="103"/>
    </row>
    <row r="796" spans="1:8">
      <c r="A796" s="100" t="s">
        <v>706</v>
      </c>
      <c r="B796" s="101" t="s">
        <v>698</v>
      </c>
      <c r="C796" s="99">
        <v>45</v>
      </c>
      <c r="D796" s="11">
        <v>9</v>
      </c>
      <c r="E796" s="11">
        <v>9</v>
      </c>
      <c r="F796" s="11"/>
      <c r="G796" s="11"/>
      <c r="H796" s="103"/>
    </row>
    <row r="797" spans="1:8" ht="25.5">
      <c r="A797" s="100">
        <v>7</v>
      </c>
      <c r="B797" s="98" t="s">
        <v>261</v>
      </c>
      <c r="C797" s="99">
        <v>105</v>
      </c>
      <c r="D797" s="11">
        <v>105</v>
      </c>
      <c r="E797" s="11">
        <v>105</v>
      </c>
      <c r="F797" s="11">
        <f>105</f>
        <v>105</v>
      </c>
      <c r="G797" s="11"/>
      <c r="H797" s="103"/>
    </row>
    <row r="798" spans="1:8">
      <c r="A798" s="100">
        <v>8</v>
      </c>
      <c r="B798" s="98" t="s">
        <v>262</v>
      </c>
      <c r="C798" s="99"/>
      <c r="D798" s="11"/>
      <c r="E798" s="11"/>
      <c r="F798" s="11"/>
      <c r="G798" s="11"/>
      <c r="H798" s="103"/>
    </row>
    <row r="799" spans="1:8">
      <c r="A799" s="100" t="s">
        <v>706</v>
      </c>
      <c r="B799" s="101" t="s">
        <v>263</v>
      </c>
      <c r="C799" s="99">
        <f>15*(4)</f>
        <v>60</v>
      </c>
      <c r="D799" s="11">
        <v>60</v>
      </c>
      <c r="E799" s="11">
        <v>60</v>
      </c>
      <c r="F799" s="11"/>
      <c r="G799" s="11"/>
      <c r="H799" s="103"/>
    </row>
    <row r="800" spans="1:8">
      <c r="A800" s="100">
        <v>9</v>
      </c>
      <c r="B800" s="98" t="s">
        <v>319</v>
      </c>
      <c r="C800" s="99"/>
      <c r="D800" s="11"/>
      <c r="E800" s="11"/>
      <c r="F800" s="11"/>
      <c r="G800" s="11"/>
      <c r="H800" s="103"/>
    </row>
    <row r="801" spans="1:8" ht="13.5" thickBot="1">
      <c r="A801" t="s">
        <v>706</v>
      </c>
      <c r="B801" s="101" t="s">
        <v>363</v>
      </c>
      <c r="C801" s="99">
        <v>209</v>
      </c>
      <c r="D801" s="11">
        <v>209</v>
      </c>
      <c r="E801" s="11">
        <v>209</v>
      </c>
      <c r="F801" s="11"/>
      <c r="G801" s="11"/>
      <c r="H801" s="103"/>
    </row>
    <row r="802" spans="1:8" ht="13.5" thickBot="1">
      <c r="A802" s="26"/>
      <c r="B802" s="17" t="s">
        <v>717</v>
      </c>
      <c r="C802" s="18">
        <f t="shared" ref="C802:H802" si="42">SUM(C785:C801)</f>
        <v>2905</v>
      </c>
      <c r="D802" s="18">
        <f t="shared" si="42"/>
        <v>1969</v>
      </c>
      <c r="E802" s="18">
        <f>SUM(E785:E801)</f>
        <v>1969</v>
      </c>
      <c r="F802" s="18">
        <f t="shared" si="42"/>
        <v>778.47</v>
      </c>
      <c r="G802" s="18">
        <f t="shared" si="42"/>
        <v>0</v>
      </c>
      <c r="H802" s="18" t="e">
        <f t="shared" si="42"/>
        <v>#DIV/0!</v>
      </c>
    </row>
    <row r="803" spans="1:8">
      <c r="A803" s="19"/>
      <c r="B803" s="20" t="s">
        <v>718</v>
      </c>
      <c r="C803" s="21"/>
      <c r="D803" s="22"/>
      <c r="E803" s="22"/>
      <c r="F803" s="23"/>
      <c r="G803" s="24"/>
      <c r="H803" s="25"/>
    </row>
    <row r="804" spans="1:8" ht="13.5" thickBot="1">
      <c r="A804" s="19"/>
      <c r="B804" s="27" t="s">
        <v>719</v>
      </c>
      <c r="C804" s="28"/>
      <c r="D804" s="29"/>
      <c r="E804" s="29"/>
      <c r="F804" s="28"/>
      <c r="G804" s="30"/>
      <c r="H804" s="31"/>
    </row>
    <row r="805" spans="1:8">
      <c r="A805" s="96"/>
      <c r="B805" s="102"/>
      <c r="C805" s="102"/>
      <c r="D805" s="102" t="s">
        <v>73</v>
      </c>
      <c r="E805" s="102"/>
      <c r="F805" s="102"/>
      <c r="G805" s="102"/>
      <c r="H805" s="102"/>
    </row>
    <row r="806" spans="1:8" ht="13.5" thickBot="1">
      <c r="A806" s="19"/>
      <c r="B806" s="4" t="s">
        <v>699</v>
      </c>
      <c r="C806" s="5" t="s">
        <v>700</v>
      </c>
      <c r="D806" s="6" t="s">
        <v>701</v>
      </c>
      <c r="E806" s="6" t="s">
        <v>702</v>
      </c>
      <c r="F806" s="6" t="s">
        <v>703</v>
      </c>
      <c r="G806" s="6" t="s">
        <v>704</v>
      </c>
      <c r="H806" s="7" t="s">
        <v>705</v>
      </c>
    </row>
    <row r="807" spans="1:8">
      <c r="A807" s="100">
        <v>1</v>
      </c>
      <c r="B807" s="98" t="s">
        <v>829</v>
      </c>
      <c r="C807" s="99"/>
      <c r="D807" s="11"/>
      <c r="E807" s="11"/>
      <c r="F807" s="11"/>
      <c r="G807" s="11"/>
      <c r="H807" s="12"/>
    </row>
    <row r="808" spans="1:8">
      <c r="A808" s="100" t="s">
        <v>706</v>
      </c>
      <c r="B808" s="101" t="s">
        <v>711</v>
      </c>
      <c r="C808" s="99">
        <v>50</v>
      </c>
      <c r="D808" s="11">
        <v>0</v>
      </c>
      <c r="E808" s="11">
        <v>0</v>
      </c>
      <c r="F808" s="11"/>
      <c r="G808" s="11">
        <v>0</v>
      </c>
      <c r="H808" s="15"/>
    </row>
    <row r="809" spans="1:8">
      <c r="A809" s="100" t="s">
        <v>709</v>
      </c>
      <c r="B809" s="101" t="s">
        <v>264</v>
      </c>
      <c r="C809" s="99">
        <v>9</v>
      </c>
      <c r="D809" s="11">
        <v>0</v>
      </c>
      <c r="E809" s="11">
        <v>0</v>
      </c>
      <c r="F809" s="11"/>
      <c r="G809" s="11"/>
      <c r="H809" s="15"/>
    </row>
    <row r="810" spans="1:8">
      <c r="A810" s="97">
        <v>2</v>
      </c>
      <c r="B810" s="98" t="s">
        <v>265</v>
      </c>
      <c r="C810" s="99"/>
      <c r="D810" s="11"/>
      <c r="E810" s="11"/>
      <c r="F810" s="11"/>
      <c r="G810" s="11"/>
      <c r="H810" s="15"/>
    </row>
    <row r="811" spans="1:8">
      <c r="A811" s="97" t="s">
        <v>706</v>
      </c>
      <c r="B811" s="101" t="s">
        <v>266</v>
      </c>
      <c r="C811" s="99">
        <v>200</v>
      </c>
      <c r="D811" s="11">
        <v>0</v>
      </c>
      <c r="E811" s="11">
        <v>0</v>
      </c>
      <c r="F811" s="11"/>
      <c r="G811" s="11"/>
      <c r="H811" s="15"/>
    </row>
    <row r="812" spans="1:8">
      <c r="A812" s="97">
        <v>3</v>
      </c>
      <c r="B812" s="98" t="s">
        <v>267</v>
      </c>
      <c r="C812" s="99"/>
      <c r="D812" s="11"/>
      <c r="E812" s="11"/>
      <c r="F812" s="11"/>
      <c r="G812" s="11"/>
      <c r="H812" s="15"/>
    </row>
    <row r="813" spans="1:8">
      <c r="A813" s="97" t="s">
        <v>706</v>
      </c>
      <c r="B813" s="101" t="s">
        <v>268</v>
      </c>
      <c r="C813" s="99">
        <v>60</v>
      </c>
      <c r="D813" s="11">
        <v>0</v>
      </c>
      <c r="E813" s="11">
        <v>0</v>
      </c>
      <c r="F813" s="11"/>
      <c r="G813" s="11"/>
      <c r="H813" s="15"/>
    </row>
    <row r="814" spans="1:8">
      <c r="A814" s="100">
        <v>4</v>
      </c>
      <c r="B814" s="98" t="s">
        <v>269</v>
      </c>
      <c r="C814" s="99"/>
      <c r="D814" s="11"/>
      <c r="E814" s="11"/>
      <c r="F814" s="11"/>
      <c r="G814" s="11"/>
      <c r="H814" s="15"/>
    </row>
    <row r="815" spans="1:8">
      <c r="A815" s="100" t="s">
        <v>706</v>
      </c>
      <c r="B815" s="101" t="s">
        <v>270</v>
      </c>
      <c r="C815" s="99">
        <v>9</v>
      </c>
      <c r="D815" s="11">
        <v>0</v>
      </c>
      <c r="E815" s="11">
        <v>0</v>
      </c>
      <c r="F815" s="11"/>
      <c r="G815" s="11"/>
      <c r="H815" s="15"/>
    </row>
    <row r="816" spans="1:8">
      <c r="A816" s="100" t="s">
        <v>709</v>
      </c>
      <c r="B816" s="101" t="s">
        <v>271</v>
      </c>
      <c r="C816" s="99">
        <v>10</v>
      </c>
      <c r="D816" s="11">
        <v>0</v>
      </c>
      <c r="E816" s="11">
        <v>0</v>
      </c>
      <c r="F816" s="11"/>
      <c r="G816" s="11">
        <v>0</v>
      </c>
      <c r="H816" s="15" t="e">
        <v>#DIV/0!</v>
      </c>
    </row>
    <row r="817" spans="1:8">
      <c r="A817" s="100" t="s">
        <v>710</v>
      </c>
      <c r="B817" s="101" t="s">
        <v>343</v>
      </c>
      <c r="C817" s="99">
        <v>200</v>
      </c>
      <c r="D817" s="11">
        <v>0</v>
      </c>
      <c r="E817" s="11">
        <v>0</v>
      </c>
      <c r="F817" s="11"/>
      <c r="G817" s="11"/>
      <c r="H817" s="15"/>
    </row>
    <row r="818" spans="1:8">
      <c r="A818" s="100">
        <v>5</v>
      </c>
      <c r="B818" s="98" t="s">
        <v>272</v>
      </c>
      <c r="C818" s="99"/>
      <c r="D818" s="11"/>
      <c r="E818" s="11"/>
      <c r="F818" s="11"/>
      <c r="G818" s="11"/>
      <c r="H818" s="103"/>
    </row>
    <row r="819" spans="1:8" ht="13.5" thickBot="1">
      <c r="A819" s="100" t="s">
        <v>706</v>
      </c>
      <c r="B819" s="101" t="s">
        <v>273</v>
      </c>
      <c r="C819" s="99">
        <v>160</v>
      </c>
      <c r="D819" s="11">
        <v>0</v>
      </c>
      <c r="E819" s="11">
        <v>0</v>
      </c>
      <c r="F819" s="11"/>
      <c r="G819" s="11"/>
      <c r="H819" s="103"/>
    </row>
    <row r="820" spans="1:8" ht="13.5" thickBot="1">
      <c r="A820" s="26"/>
      <c r="B820" s="17" t="s">
        <v>717</v>
      </c>
      <c r="C820" s="18">
        <f>C808+C809+C811+C813+C815+C816+C817+C819</f>
        <v>698</v>
      </c>
      <c r="D820" s="18">
        <v>0</v>
      </c>
      <c r="E820" s="18">
        <v>0</v>
      </c>
      <c r="F820" s="18">
        <v>0</v>
      </c>
      <c r="G820" s="18">
        <v>0</v>
      </c>
      <c r="H820" s="18" t="e">
        <v>#DIV/0!</v>
      </c>
    </row>
    <row r="821" spans="1:8" ht="13.5" thickBot="1">
      <c r="A821" s="26"/>
      <c r="B821" s="20" t="s">
        <v>718</v>
      </c>
      <c r="C821" s="21"/>
      <c r="D821" s="22"/>
      <c r="E821" s="22"/>
      <c r="F821" s="23"/>
      <c r="G821" s="24"/>
      <c r="H821" s="25"/>
    </row>
    <row r="822" spans="1:8" ht="13.5" thickBot="1">
      <c r="A822" s="26"/>
      <c r="B822" s="27" t="s">
        <v>719</v>
      </c>
      <c r="C822" s="28"/>
      <c r="D822" s="29"/>
      <c r="E822" s="29"/>
      <c r="F822" s="28"/>
      <c r="G822" s="30"/>
      <c r="H822" s="31"/>
    </row>
    <row r="823" spans="1:8" ht="25.5">
      <c r="A823" s="96"/>
      <c r="B823" s="102"/>
      <c r="C823" s="102"/>
      <c r="D823" s="102" t="s">
        <v>274</v>
      </c>
      <c r="E823" s="102"/>
      <c r="F823" s="102"/>
      <c r="G823" s="102"/>
      <c r="H823" s="102"/>
    </row>
    <row r="824" spans="1:8" ht="13.5" thickBot="1">
      <c r="A824" s="97"/>
      <c r="B824" s="4" t="s">
        <v>699</v>
      </c>
      <c r="C824" s="5" t="s">
        <v>700</v>
      </c>
      <c r="D824" s="6" t="s">
        <v>701</v>
      </c>
      <c r="E824" s="6" t="s">
        <v>702</v>
      </c>
      <c r="F824" s="6" t="s">
        <v>703</v>
      </c>
      <c r="G824" s="6" t="s">
        <v>704</v>
      </c>
      <c r="H824" s="7" t="s">
        <v>705</v>
      </c>
    </row>
    <row r="825" spans="1:8">
      <c r="A825" s="100">
        <v>1</v>
      </c>
      <c r="B825" s="98" t="s">
        <v>829</v>
      </c>
      <c r="C825" s="99"/>
      <c r="D825" s="11"/>
      <c r="E825" s="11"/>
      <c r="F825" s="11"/>
      <c r="G825" s="11"/>
      <c r="H825" s="12"/>
    </row>
    <row r="826" spans="1:8">
      <c r="A826" s="100" t="s">
        <v>706</v>
      </c>
      <c r="B826" s="101" t="s">
        <v>275</v>
      </c>
      <c r="C826" s="99">
        <v>50</v>
      </c>
      <c r="D826" s="11">
        <v>50</v>
      </c>
      <c r="E826" s="11">
        <v>50</v>
      </c>
      <c r="F826" s="11"/>
      <c r="G826" s="11">
        <v>0</v>
      </c>
      <c r="H826" s="15"/>
    </row>
    <row r="827" spans="1:8">
      <c r="A827" s="100" t="s">
        <v>709</v>
      </c>
      <c r="B827" s="101" t="s">
        <v>256</v>
      </c>
      <c r="C827" s="99">
        <v>9</v>
      </c>
      <c r="D827" s="11">
        <v>9</v>
      </c>
      <c r="E827" s="11">
        <v>9</v>
      </c>
      <c r="F827" s="11"/>
      <c r="G827" s="11"/>
      <c r="H827" s="15"/>
    </row>
    <row r="828" spans="1:8">
      <c r="A828" s="97">
        <v>2</v>
      </c>
      <c r="B828" s="98" t="s">
        <v>272</v>
      </c>
      <c r="C828" s="99"/>
      <c r="D828" s="11"/>
      <c r="E828" s="11"/>
      <c r="F828" s="11"/>
      <c r="G828" s="11"/>
      <c r="H828" s="15"/>
    </row>
    <row r="829" spans="1:8">
      <c r="A829" s="97" t="s">
        <v>706</v>
      </c>
      <c r="B829" s="101" t="s">
        <v>276</v>
      </c>
      <c r="C829" s="99">
        <v>50</v>
      </c>
      <c r="D829" s="11">
        <v>50</v>
      </c>
      <c r="E829" s="11">
        <v>50</v>
      </c>
      <c r="F829" s="11"/>
      <c r="G829" s="11"/>
      <c r="H829" s="15"/>
    </row>
    <row r="830" spans="1:8">
      <c r="A830" s="100">
        <v>3</v>
      </c>
      <c r="B830" s="98" t="s">
        <v>277</v>
      </c>
      <c r="C830" s="99">
        <v>7</v>
      </c>
      <c r="D830" s="11">
        <v>7</v>
      </c>
      <c r="E830" s="11">
        <v>7</v>
      </c>
      <c r="F830" s="11"/>
      <c r="G830" s="11"/>
      <c r="H830" s="15"/>
    </row>
    <row r="831" spans="1:8">
      <c r="A831" s="100">
        <v>3</v>
      </c>
      <c r="B831" s="98" t="s">
        <v>278</v>
      </c>
      <c r="C831" s="99">
        <v>10</v>
      </c>
      <c r="D831" s="11">
        <v>10</v>
      </c>
      <c r="E831" s="11">
        <v>10</v>
      </c>
      <c r="F831" s="11"/>
      <c r="G831" s="11"/>
      <c r="H831" s="15"/>
    </row>
    <row r="832" spans="1:8">
      <c r="A832" s="100">
        <v>4</v>
      </c>
      <c r="B832" s="101" t="s">
        <v>279</v>
      </c>
      <c r="C832" s="99">
        <v>224.5</v>
      </c>
      <c r="D832" s="11">
        <v>224.5</v>
      </c>
      <c r="E832" s="11">
        <v>224.5</v>
      </c>
      <c r="F832" s="11"/>
      <c r="G832" s="11"/>
      <c r="H832" s="15"/>
    </row>
    <row r="833" spans="1:8">
      <c r="A833" s="100">
        <v>5</v>
      </c>
      <c r="B833" s="101" t="s">
        <v>280</v>
      </c>
      <c r="C833" s="99"/>
      <c r="D833" s="11"/>
      <c r="E833" s="11"/>
      <c r="F833" s="11"/>
      <c r="G833" s="11">
        <v>0</v>
      </c>
      <c r="H833" s="15" t="e">
        <v>#DIV/0!</v>
      </c>
    </row>
    <row r="834" spans="1:8" ht="13.5" thickBot="1">
      <c r="A834" t="s">
        <v>706</v>
      </c>
      <c r="B834" s="101" t="s">
        <v>281</v>
      </c>
      <c r="C834" s="99">
        <v>50</v>
      </c>
      <c r="D834" s="11">
        <v>0</v>
      </c>
      <c r="E834" s="11">
        <v>0</v>
      </c>
      <c r="F834" s="11"/>
      <c r="G834" s="11"/>
      <c r="H834" s="15"/>
    </row>
    <row r="835" spans="1:8" ht="13.5" thickBot="1">
      <c r="A835" s="3"/>
      <c r="B835" s="17" t="s">
        <v>717</v>
      </c>
      <c r="C835" s="18">
        <f t="shared" ref="C835:H835" si="43">SUM(C826:C834)</f>
        <v>400.5</v>
      </c>
      <c r="D835" s="18">
        <f t="shared" si="43"/>
        <v>350.5</v>
      </c>
      <c r="E835" s="18">
        <f>SUM(E826:E834)</f>
        <v>350.5</v>
      </c>
      <c r="F835" s="18">
        <f t="shared" si="43"/>
        <v>0</v>
      </c>
      <c r="G835" s="18">
        <f t="shared" si="43"/>
        <v>0</v>
      </c>
      <c r="H835" s="18" t="e">
        <f t="shared" si="43"/>
        <v>#DIV/0!</v>
      </c>
    </row>
    <row r="836" spans="1:8" ht="13.5" thickBot="1">
      <c r="A836" s="3"/>
      <c r="B836" s="20" t="s">
        <v>718</v>
      </c>
      <c r="C836" s="21"/>
      <c r="D836" s="22"/>
      <c r="E836" s="22"/>
      <c r="F836" s="23"/>
      <c r="G836" s="24"/>
      <c r="H836" s="25"/>
    </row>
    <row r="837" spans="1:8" ht="13.5" thickBot="1">
      <c r="A837" s="3"/>
      <c r="B837" s="27" t="s">
        <v>719</v>
      </c>
      <c r="C837" s="28"/>
      <c r="D837" s="29"/>
      <c r="E837" s="29"/>
      <c r="F837" s="28"/>
      <c r="G837" s="30"/>
      <c r="H837" s="31"/>
    </row>
    <row r="838" spans="1:8" ht="25.5">
      <c r="A838" s="96"/>
      <c r="B838" s="104"/>
      <c r="C838" s="104"/>
      <c r="D838" s="104" t="s">
        <v>463</v>
      </c>
      <c r="E838" s="104"/>
      <c r="F838" s="104"/>
      <c r="G838" s="104"/>
      <c r="H838" s="105"/>
    </row>
    <row r="839" spans="1:8" ht="13.5" thickBot="1">
      <c r="A839" s="3"/>
      <c r="B839" s="4" t="s">
        <v>699</v>
      </c>
      <c r="C839" s="5" t="s">
        <v>700</v>
      </c>
      <c r="D839" s="6" t="s">
        <v>701</v>
      </c>
      <c r="E839" s="6" t="s">
        <v>702</v>
      </c>
      <c r="F839" s="6" t="s">
        <v>703</v>
      </c>
      <c r="G839" s="6" t="s">
        <v>704</v>
      </c>
      <c r="H839" s="7" t="s">
        <v>705</v>
      </c>
    </row>
    <row r="840" spans="1:8">
      <c r="A840" s="100">
        <v>1</v>
      </c>
      <c r="B840" s="98" t="s">
        <v>464</v>
      </c>
      <c r="C840" s="99"/>
      <c r="D840" s="11"/>
      <c r="E840" s="11"/>
      <c r="F840" s="11"/>
      <c r="G840" s="11"/>
      <c r="H840" s="12"/>
    </row>
    <row r="841" spans="1:8">
      <c r="A841" s="97" t="s">
        <v>706</v>
      </c>
      <c r="B841" s="101" t="s">
        <v>711</v>
      </c>
      <c r="C841" s="99">
        <v>50</v>
      </c>
      <c r="D841" s="11">
        <v>50</v>
      </c>
      <c r="E841" s="11">
        <v>50</v>
      </c>
      <c r="F841" s="11">
        <f>50</f>
        <v>50</v>
      </c>
      <c r="G841" s="11">
        <v>0</v>
      </c>
      <c r="H841" s="15" t="e">
        <v>#DIV/0!</v>
      </c>
    </row>
    <row r="842" spans="1:8">
      <c r="A842" t="s">
        <v>241</v>
      </c>
      <c r="B842" s="101" t="s">
        <v>280</v>
      </c>
      <c r="C842" s="99">
        <v>9</v>
      </c>
      <c r="D842" s="11">
        <v>9</v>
      </c>
      <c r="E842" s="11">
        <v>9</v>
      </c>
      <c r="F842" s="11"/>
      <c r="G842" s="11">
        <v>0</v>
      </c>
      <c r="H842" s="15" t="e">
        <v>#DIV/0!</v>
      </c>
    </row>
    <row r="843" spans="1:8">
      <c r="A843" s="100">
        <v>2</v>
      </c>
      <c r="B843" s="98" t="s">
        <v>465</v>
      </c>
      <c r="C843" s="99"/>
      <c r="D843" s="11"/>
      <c r="E843" s="11"/>
      <c r="F843" s="11"/>
      <c r="G843" s="11">
        <v>0</v>
      </c>
      <c r="H843" s="15" t="e">
        <v>#DIV/0!</v>
      </c>
    </row>
    <row r="844" spans="1:8">
      <c r="A844" s="11" t="s">
        <v>706</v>
      </c>
      <c r="B844" s="101" t="s">
        <v>280</v>
      </c>
      <c r="C844" s="99">
        <v>9</v>
      </c>
      <c r="D844" s="11">
        <v>9</v>
      </c>
      <c r="E844" s="11">
        <v>9</v>
      </c>
      <c r="F844" s="11"/>
      <c r="G844" s="11"/>
      <c r="H844" s="15"/>
    </row>
    <row r="845" spans="1:8" ht="25.5">
      <c r="A845" s="97" t="s">
        <v>709</v>
      </c>
      <c r="B845" s="101" t="s">
        <v>466</v>
      </c>
      <c r="C845" s="99">
        <v>600</v>
      </c>
      <c r="D845" s="11">
        <v>600</v>
      </c>
      <c r="E845" s="11">
        <v>600</v>
      </c>
      <c r="F845" s="11">
        <f>66.84+89.32+55.24+156.48+93.53+50</f>
        <v>511.40999999999997</v>
      </c>
      <c r="G845" s="11">
        <f>E845-F845</f>
        <v>88.590000000000032</v>
      </c>
      <c r="H845" s="15" t="e">
        <v>#DIV/0!</v>
      </c>
    </row>
    <row r="846" spans="1:8">
      <c r="A846" s="100">
        <v>3</v>
      </c>
      <c r="B846" s="98" t="s">
        <v>467</v>
      </c>
      <c r="C846" s="99"/>
      <c r="D846" s="11"/>
      <c r="E846" s="11"/>
      <c r="F846" s="11"/>
      <c r="G846" s="11"/>
      <c r="H846" s="15"/>
    </row>
    <row r="847" spans="1:8">
      <c r="A847" s="106" t="s">
        <v>706</v>
      </c>
      <c r="B847" s="101" t="s">
        <v>280</v>
      </c>
      <c r="C847" s="99">
        <v>9</v>
      </c>
      <c r="D847" s="11">
        <v>9</v>
      </c>
      <c r="E847" s="11">
        <v>9</v>
      </c>
      <c r="F847" s="11"/>
      <c r="G847" s="11">
        <v>0</v>
      </c>
      <c r="H847" s="15" t="e">
        <v>#DIV/0!</v>
      </c>
    </row>
    <row r="848" spans="1:8">
      <c r="A848" s="106" t="s">
        <v>709</v>
      </c>
      <c r="B848" s="101" t="s">
        <v>343</v>
      </c>
      <c r="C848" s="99">
        <v>30</v>
      </c>
      <c r="D848" s="11">
        <v>30</v>
      </c>
      <c r="E848" s="11">
        <v>30</v>
      </c>
      <c r="F848" s="11"/>
      <c r="G848" s="11"/>
      <c r="H848" s="103"/>
    </row>
    <row r="849" spans="1:8">
      <c r="A849" s="97" t="s">
        <v>710</v>
      </c>
      <c r="B849" s="101" t="s">
        <v>468</v>
      </c>
      <c r="C849" s="99">
        <v>20</v>
      </c>
      <c r="D849" s="11">
        <v>20</v>
      </c>
      <c r="E849" s="11">
        <v>20</v>
      </c>
      <c r="F849" s="11">
        <f>11.98</f>
        <v>11.98</v>
      </c>
      <c r="G849" s="11"/>
      <c r="H849" s="103"/>
    </row>
    <row r="850" spans="1:8">
      <c r="A850" s="100">
        <v>4</v>
      </c>
      <c r="B850" s="98" t="s">
        <v>469</v>
      </c>
      <c r="C850" s="99"/>
      <c r="D850" s="11"/>
      <c r="E850" s="11"/>
      <c r="F850" s="11"/>
      <c r="G850" s="11"/>
      <c r="H850" s="15"/>
    </row>
    <row r="851" spans="1:8">
      <c r="A851" s="97" t="s">
        <v>706</v>
      </c>
      <c r="B851" s="101" t="s">
        <v>345</v>
      </c>
      <c r="C851" s="99"/>
      <c r="D851" s="11"/>
      <c r="E851" s="11"/>
      <c r="F851" s="11"/>
      <c r="G851" s="11">
        <v>0</v>
      </c>
      <c r="H851" s="15" t="e">
        <v>#DIV/0!</v>
      </c>
    </row>
    <row r="852" spans="1:8">
      <c r="A852" s="100" t="s">
        <v>709</v>
      </c>
      <c r="B852" s="101" t="s">
        <v>711</v>
      </c>
      <c r="C852" s="99">
        <v>80</v>
      </c>
      <c r="D852" s="11">
        <v>0</v>
      </c>
      <c r="E852" s="11">
        <v>0</v>
      </c>
      <c r="F852" s="11"/>
      <c r="G852" s="11"/>
      <c r="H852" s="15"/>
    </row>
    <row r="853" spans="1:8">
      <c r="A853" t="s">
        <v>418</v>
      </c>
      <c r="B853" s="101" t="s">
        <v>280</v>
      </c>
      <c r="C853" s="99">
        <v>9</v>
      </c>
      <c r="D853" s="11">
        <v>0</v>
      </c>
      <c r="E853" s="11">
        <v>0</v>
      </c>
      <c r="F853" s="11"/>
      <c r="G853" s="11">
        <v>0</v>
      </c>
      <c r="H853" s="15" t="e">
        <v>#DIV/0!</v>
      </c>
    </row>
    <row r="854" spans="1:8" ht="13.5" thickBot="1">
      <c r="B854" s="101"/>
      <c r="C854" s="99"/>
      <c r="D854" s="11"/>
      <c r="E854" s="11"/>
      <c r="F854" s="11"/>
      <c r="G854" s="11"/>
      <c r="H854" s="103"/>
    </row>
    <row r="855" spans="1:8">
      <c r="A855" s="19"/>
      <c r="B855" s="17" t="s">
        <v>717</v>
      </c>
      <c r="C855" s="18">
        <f t="shared" ref="C855:H855" si="44">SUM(C841:C854)</f>
        <v>816</v>
      </c>
      <c r="D855" s="18">
        <f t="shared" si="44"/>
        <v>727</v>
      </c>
      <c r="E855" s="18">
        <f>SUM(E841:E854)</f>
        <v>727</v>
      </c>
      <c r="F855" s="18">
        <f t="shared" si="44"/>
        <v>573.39</v>
      </c>
      <c r="G855" s="18">
        <f t="shared" si="44"/>
        <v>88.590000000000032</v>
      </c>
      <c r="H855" s="18" t="e">
        <f t="shared" si="44"/>
        <v>#DIV/0!</v>
      </c>
    </row>
    <row r="856" spans="1:8" ht="13.5" thickBot="1">
      <c r="A856" s="26"/>
      <c r="B856" s="20" t="s">
        <v>718</v>
      </c>
      <c r="C856" s="21"/>
      <c r="D856" s="22"/>
      <c r="E856" s="22"/>
      <c r="F856" s="23"/>
      <c r="G856" s="24"/>
      <c r="H856" s="25"/>
    </row>
    <row r="857" spans="1:8" ht="13.5" thickBot="1">
      <c r="A857" s="3"/>
      <c r="B857" s="27" t="s">
        <v>719</v>
      </c>
      <c r="C857" s="28"/>
      <c r="D857" s="29"/>
      <c r="E857" s="29"/>
      <c r="F857" s="28"/>
      <c r="G857" s="30"/>
      <c r="H857" s="31"/>
    </row>
    <row r="858" spans="1:8" ht="13.5" thickBot="1">
      <c r="A858" s="3"/>
      <c r="B858" s="107"/>
      <c r="C858" s="108"/>
      <c r="D858" s="108"/>
      <c r="E858" s="109"/>
      <c r="F858" s="108"/>
      <c r="G858" s="110"/>
      <c r="H858" s="111"/>
    </row>
    <row r="859" spans="1:8">
      <c r="A859" s="104"/>
      <c r="B859" s="104"/>
      <c r="C859" s="104"/>
      <c r="D859" s="104" t="s">
        <v>470</v>
      </c>
      <c r="E859" s="104"/>
      <c r="F859" s="104"/>
      <c r="G859" s="104"/>
      <c r="H859" s="105"/>
    </row>
    <row r="860" spans="1:8" ht="13.5" thickBot="1">
      <c r="A860" s="3"/>
      <c r="B860" s="4" t="s">
        <v>699</v>
      </c>
      <c r="C860" s="5" t="s">
        <v>700</v>
      </c>
      <c r="D860" s="6" t="s">
        <v>701</v>
      </c>
      <c r="E860" s="6" t="s">
        <v>702</v>
      </c>
      <c r="F860" s="6" t="s">
        <v>703</v>
      </c>
      <c r="G860" s="6" t="s">
        <v>704</v>
      </c>
      <c r="H860" s="7" t="s">
        <v>705</v>
      </c>
    </row>
    <row r="861" spans="1:8">
      <c r="A861" s="100">
        <v>1</v>
      </c>
      <c r="B861" s="98" t="s">
        <v>471</v>
      </c>
      <c r="C861" s="99"/>
      <c r="D861" s="11"/>
      <c r="E861" s="11"/>
      <c r="F861" s="11"/>
      <c r="G861" s="11"/>
      <c r="H861" s="12"/>
    </row>
    <row r="862" spans="1:8">
      <c r="A862" s="97" t="s">
        <v>706</v>
      </c>
      <c r="B862" s="101" t="s">
        <v>345</v>
      </c>
      <c r="C862" s="99">
        <v>600</v>
      </c>
      <c r="D862" s="11">
        <v>300</v>
      </c>
      <c r="E862" s="11">
        <v>300</v>
      </c>
      <c r="F862" s="11"/>
      <c r="G862" s="11">
        <v>0</v>
      </c>
      <c r="H862" s="15" t="e">
        <v>#DIV/0!</v>
      </c>
    </row>
    <row r="863" spans="1:8">
      <c r="A863" s="100">
        <v>2</v>
      </c>
      <c r="B863" s="98" t="s">
        <v>472</v>
      </c>
      <c r="C863" s="99"/>
      <c r="D863" s="11"/>
      <c r="E863" s="11"/>
      <c r="F863" s="11"/>
      <c r="G863" s="11">
        <v>0</v>
      </c>
      <c r="H863" s="15" t="e">
        <v>#DIV/0!</v>
      </c>
    </row>
    <row r="864" spans="1:8">
      <c r="A864" s="97" t="s">
        <v>706</v>
      </c>
      <c r="B864" s="101" t="s">
        <v>473</v>
      </c>
      <c r="C864" s="99">
        <v>200</v>
      </c>
      <c r="D864" s="11">
        <v>200</v>
      </c>
      <c r="E864" s="11">
        <v>200</v>
      </c>
      <c r="F864" s="11"/>
      <c r="G864" s="11"/>
      <c r="H864" s="15"/>
    </row>
    <row r="865" spans="1:8">
      <c r="A865" s="100" t="s">
        <v>709</v>
      </c>
      <c r="B865" s="98" t="s">
        <v>711</v>
      </c>
      <c r="C865" s="99">
        <v>2000</v>
      </c>
      <c r="D865" s="11">
        <v>1000</v>
      </c>
      <c r="E865" s="11">
        <v>1000</v>
      </c>
      <c r="F865" s="11">
        <f>900</f>
        <v>900</v>
      </c>
      <c r="G865" s="11">
        <v>0</v>
      </c>
      <c r="H865" s="15" t="e">
        <v>#DIV/0!</v>
      </c>
    </row>
    <row r="866" spans="1:8">
      <c r="A866" s="97" t="s">
        <v>710</v>
      </c>
      <c r="B866" s="98" t="s">
        <v>474</v>
      </c>
      <c r="C866" s="99">
        <f>150</f>
        <v>150</v>
      </c>
      <c r="D866" s="11">
        <v>150</v>
      </c>
      <c r="E866" s="11">
        <f>150</f>
        <v>150</v>
      </c>
      <c r="F866" s="11">
        <f>150</f>
        <v>150</v>
      </c>
      <c r="G866" s="11"/>
      <c r="H866" s="15"/>
    </row>
    <row r="867" spans="1:8">
      <c r="A867" s="97" t="s">
        <v>706</v>
      </c>
      <c r="B867" s="101" t="s">
        <v>378</v>
      </c>
      <c r="C867" s="99">
        <v>300</v>
      </c>
      <c r="D867" s="11">
        <v>300</v>
      </c>
      <c r="E867" s="11">
        <v>300</v>
      </c>
      <c r="F867" s="11"/>
      <c r="G867" s="11">
        <v>0</v>
      </c>
      <c r="H867" s="15" t="e">
        <v>#DIV/0!</v>
      </c>
    </row>
    <row r="868" spans="1:8">
      <c r="A868" s="100">
        <v>4</v>
      </c>
      <c r="B868" s="98" t="s">
        <v>516</v>
      </c>
      <c r="C868" s="99"/>
      <c r="D868" s="11"/>
      <c r="E868" s="11"/>
      <c r="F868" s="11"/>
      <c r="G868" s="11"/>
      <c r="H868" s="12"/>
    </row>
    <row r="869" spans="1:8">
      <c r="A869" s="100">
        <v>5</v>
      </c>
      <c r="B869" s="101" t="s">
        <v>379</v>
      </c>
      <c r="C869" s="99">
        <v>210</v>
      </c>
      <c r="D869" s="11">
        <v>50</v>
      </c>
      <c r="E869" s="11">
        <v>50</v>
      </c>
      <c r="F869" s="11">
        <f>50</f>
        <v>50</v>
      </c>
      <c r="G869" s="11">
        <v>0</v>
      </c>
      <c r="H869" s="15" t="e">
        <v>#DIV/0!</v>
      </c>
    </row>
    <row r="870" spans="1:8">
      <c r="A870" s="97">
        <v>6</v>
      </c>
      <c r="B870" s="101" t="s">
        <v>380</v>
      </c>
      <c r="C870" s="99">
        <v>500</v>
      </c>
      <c r="D870" s="11">
        <v>0</v>
      </c>
      <c r="E870" s="11">
        <v>0</v>
      </c>
      <c r="F870" s="11"/>
      <c r="G870" s="11">
        <v>0</v>
      </c>
      <c r="H870" s="15" t="e">
        <v>#DIV/0!</v>
      </c>
    </row>
    <row r="871" spans="1:8" ht="13.5" thickBot="1">
      <c r="A871" s="97">
        <v>7</v>
      </c>
      <c r="B871" s="98" t="s">
        <v>347</v>
      </c>
      <c r="C871" s="99">
        <v>150</v>
      </c>
      <c r="D871" s="11">
        <v>0</v>
      </c>
      <c r="E871" s="11">
        <v>0</v>
      </c>
      <c r="F871" s="11"/>
      <c r="G871" s="11"/>
      <c r="H871" s="15"/>
    </row>
    <row r="872" spans="1:8" ht="13.5" thickBot="1">
      <c r="A872" s="26"/>
      <c r="B872" s="17" t="s">
        <v>717</v>
      </c>
      <c r="C872" s="18">
        <f>C862+C864+C865+C867+C869+C870+C871</f>
        <v>3960</v>
      </c>
      <c r="D872" s="18">
        <f>SUM(D862:D871)</f>
        <v>2000</v>
      </c>
      <c r="E872" s="18">
        <f>SUM(E862:E871)</f>
        <v>2000</v>
      </c>
      <c r="F872" s="18">
        <v>0</v>
      </c>
      <c r="G872" s="18">
        <v>0</v>
      </c>
      <c r="H872" s="36" t="e">
        <v>#DIV/0!</v>
      </c>
    </row>
    <row r="873" spans="1:8" ht="13.5" thickBot="1">
      <c r="A873" s="26"/>
      <c r="B873" s="20" t="s">
        <v>718</v>
      </c>
      <c r="C873" s="21"/>
      <c r="D873" s="22"/>
      <c r="E873" s="22"/>
      <c r="F873" s="23"/>
      <c r="G873" s="24"/>
      <c r="H873" s="25"/>
    </row>
    <row r="874" spans="1:8" ht="13.5" thickBot="1">
      <c r="A874" s="3"/>
      <c r="B874" s="27" t="s">
        <v>719</v>
      </c>
      <c r="C874" s="28"/>
      <c r="D874" s="29"/>
      <c r="E874" s="29"/>
      <c r="F874" s="28"/>
      <c r="G874" s="30"/>
      <c r="H874" s="31"/>
    </row>
    <row r="875" spans="1:8">
      <c r="A875" s="33"/>
      <c r="B875" s="35" t="s">
        <v>249</v>
      </c>
      <c r="C875" s="34">
        <f t="shared" ref="C875:H875" si="45">SUM(C763,C779,C802,C820,C835,C855,C872)</f>
        <v>18215.5</v>
      </c>
      <c r="D875" s="34">
        <f t="shared" si="45"/>
        <v>11777.5</v>
      </c>
      <c r="E875" s="34">
        <f>SUM(E763,E779,E802,E820,E835,E855,E872)</f>
        <v>11777.5</v>
      </c>
      <c r="F875" s="34">
        <f t="shared" si="45"/>
        <v>1351.8600000000001</v>
      </c>
      <c r="G875" s="34">
        <f t="shared" si="45"/>
        <v>88.590000000000032</v>
      </c>
      <c r="H875" s="34" t="e">
        <f t="shared" si="45"/>
        <v>#DIV/0!</v>
      </c>
    </row>
    <row r="876" spans="1:8">
      <c r="B876" s="114" t="s">
        <v>248</v>
      </c>
    </row>
    <row r="877" spans="1:8">
      <c r="B877" s="107" t="s">
        <v>250</v>
      </c>
      <c r="C877" s="32">
        <f t="shared" ref="C877:H877" si="46">SUM(C160,C355,C434,C572,C697,C739,C875)</f>
        <v>214090.94999999998</v>
      </c>
      <c r="D877" s="32">
        <f t="shared" si="46"/>
        <v>167263.59999999998</v>
      </c>
      <c r="E877" s="32">
        <f>SUM(E160,E355,E434,E572,E697,E739,E875)</f>
        <v>167209.59999999998</v>
      </c>
      <c r="F877" s="32">
        <f t="shared" si="46"/>
        <v>50197.899999999994</v>
      </c>
      <c r="G877" s="32" t="e">
        <f t="shared" si="46"/>
        <v>#VALUE!</v>
      </c>
      <c r="H877" s="32" t="e">
        <f t="shared" si="46"/>
        <v>#VALUE!</v>
      </c>
    </row>
  </sheetData>
  <mergeCells count="38">
    <mergeCell ref="A102:H102"/>
    <mergeCell ref="A86:H86"/>
    <mergeCell ref="A162:H162"/>
    <mergeCell ref="A1:H1"/>
    <mergeCell ref="A3:H3"/>
    <mergeCell ref="A38:H38"/>
    <mergeCell ref="A61:H61"/>
    <mergeCell ref="A161:H161"/>
    <mergeCell ref="A140:H140"/>
    <mergeCell ref="A379:H379"/>
    <mergeCell ref="A415:H415"/>
    <mergeCell ref="A239:H239"/>
    <mergeCell ref="A344:H344"/>
    <mergeCell ref="A406:H406"/>
    <mergeCell ref="A333:H333"/>
    <mergeCell ref="A175:H175"/>
    <mergeCell ref="A271:H271"/>
    <mergeCell ref="A367:H367"/>
    <mergeCell ref="A298:H298"/>
    <mergeCell ref="B425:H425"/>
    <mergeCell ref="A199:H199"/>
    <mergeCell ref="A216:H216"/>
    <mergeCell ref="A186:H186"/>
    <mergeCell ref="A224:H224"/>
    <mergeCell ref="A528:H528"/>
    <mergeCell ref="A314:H314"/>
    <mergeCell ref="A356:H356"/>
    <mergeCell ref="A257:H257"/>
    <mergeCell ref="A555:H555"/>
    <mergeCell ref="A503:H503"/>
    <mergeCell ref="A436:H436"/>
    <mergeCell ref="A465:H465"/>
    <mergeCell ref="A475:H475"/>
    <mergeCell ref="A536:H536"/>
    <mergeCell ref="A517:H517"/>
    <mergeCell ref="A357:H357"/>
    <mergeCell ref="A488:H488"/>
    <mergeCell ref="A435:H435"/>
  </mergeCells>
  <phoneticPr fontId="2" type="noConversion"/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J30" sqref="J30"/>
    </sheetView>
  </sheetViews>
  <sheetFormatPr defaultColWidth="8.75" defaultRowHeight="12.75"/>
  <sheetData>
    <row r="1" spans="1:7" ht="15">
      <c r="A1" s="86" t="s">
        <v>333</v>
      </c>
      <c r="B1" s="86" t="s">
        <v>334</v>
      </c>
      <c r="C1" s="86"/>
      <c r="D1" s="86"/>
      <c r="E1" s="86"/>
      <c r="F1" s="86"/>
      <c r="G1" s="86"/>
    </row>
    <row r="2" spans="1:7" ht="15">
      <c r="A2" s="87" t="s">
        <v>386</v>
      </c>
      <c r="B2" s="87"/>
      <c r="C2" s="87"/>
      <c r="D2" s="87"/>
      <c r="E2" s="87"/>
      <c r="F2" s="87"/>
      <c r="G2" s="87"/>
    </row>
    <row r="3" spans="1:7">
      <c r="A3" t="s">
        <v>387</v>
      </c>
      <c r="B3" s="88">
        <v>100</v>
      </c>
    </row>
    <row r="4" spans="1:7" ht="15">
      <c r="A4" s="87" t="s">
        <v>717</v>
      </c>
      <c r="B4" s="89">
        <f>SUM(B3)</f>
        <v>100</v>
      </c>
      <c r="C4" s="87"/>
      <c r="D4" s="87"/>
      <c r="E4" s="87"/>
      <c r="F4" s="87"/>
      <c r="G4" s="87"/>
    </row>
    <row r="5" spans="1:7">
      <c r="A5" s="90"/>
      <c r="B5" s="90"/>
      <c r="C5" s="90"/>
      <c r="D5" s="90"/>
      <c r="E5" s="90"/>
      <c r="F5" s="90"/>
      <c r="G5" s="90"/>
    </row>
    <row r="6" spans="1:7" ht="15">
      <c r="A6" s="87" t="s">
        <v>486</v>
      </c>
      <c r="B6" s="91"/>
      <c r="C6" s="91"/>
      <c r="D6" s="91"/>
      <c r="E6" s="91"/>
      <c r="F6" s="91"/>
      <c r="G6" s="91"/>
    </row>
    <row r="7" spans="1:7" ht="15">
      <c r="A7" s="92" t="s">
        <v>488</v>
      </c>
      <c r="B7" s="88">
        <v>50</v>
      </c>
    </row>
    <row r="8" spans="1:7" ht="15">
      <c r="A8" s="87" t="s">
        <v>717</v>
      </c>
      <c r="B8" s="89">
        <f>SUM(B7)</f>
        <v>50</v>
      </c>
      <c r="C8" s="87"/>
      <c r="D8" s="87"/>
      <c r="E8" s="87"/>
      <c r="F8" s="87"/>
      <c r="G8" s="87"/>
    </row>
    <row r="9" spans="1:7">
      <c r="A9" s="90"/>
      <c r="B9" s="90"/>
      <c r="C9" s="90"/>
      <c r="D9" s="90"/>
      <c r="E9" s="90"/>
      <c r="F9" s="90"/>
      <c r="G9" s="90"/>
    </row>
    <row r="10" spans="1:7" ht="15">
      <c r="A10" s="87" t="s">
        <v>499</v>
      </c>
      <c r="B10" s="91"/>
      <c r="C10" s="91"/>
      <c r="D10" s="91"/>
      <c r="E10" s="91"/>
      <c r="F10" s="91"/>
      <c r="G10" s="91"/>
    </row>
    <row r="11" spans="1:7" ht="15">
      <c r="A11" s="92" t="s">
        <v>402</v>
      </c>
      <c r="B11" s="88">
        <v>70</v>
      </c>
    </row>
    <row r="12" spans="1:7" ht="15">
      <c r="A12" s="92" t="s">
        <v>403</v>
      </c>
      <c r="B12" s="88">
        <v>30</v>
      </c>
    </row>
    <row r="13" spans="1:7" ht="15">
      <c r="A13" s="92" t="s">
        <v>404</v>
      </c>
      <c r="B13" s="88">
        <v>30</v>
      </c>
    </row>
    <row r="14" spans="1:7" ht="15">
      <c r="A14" s="87" t="s">
        <v>717</v>
      </c>
      <c r="B14" s="89">
        <f>SUM(B11:B13)</f>
        <v>130</v>
      </c>
      <c r="C14" s="87"/>
      <c r="D14" s="87"/>
      <c r="E14" s="87"/>
      <c r="F14" s="87"/>
      <c r="G14" s="87"/>
    </row>
    <row r="15" spans="1:7">
      <c r="A15" s="90"/>
      <c r="B15" s="90"/>
      <c r="C15" s="90"/>
      <c r="D15" s="90"/>
      <c r="E15" s="90"/>
      <c r="F15" s="90"/>
      <c r="G15" s="90"/>
    </row>
    <row r="16" spans="1:7" ht="15">
      <c r="A16" s="87" t="s">
        <v>407</v>
      </c>
      <c r="B16" s="91"/>
      <c r="C16" s="91"/>
      <c r="D16" s="91"/>
      <c r="E16" s="91"/>
      <c r="F16" s="91"/>
      <c r="G16" s="91"/>
    </row>
    <row r="17" spans="1:7">
      <c r="A17" t="s">
        <v>408</v>
      </c>
      <c r="B17" s="88">
        <v>110</v>
      </c>
    </row>
    <row r="18" spans="1:7" ht="15">
      <c r="A18" s="87" t="s">
        <v>717</v>
      </c>
      <c r="B18" s="89">
        <f>SUM(B17)</f>
        <v>110</v>
      </c>
      <c r="C18" s="87"/>
      <c r="D18" s="87"/>
      <c r="E18" s="87"/>
      <c r="F18" s="87"/>
      <c r="G18" s="87"/>
    </row>
    <row r="19" spans="1:7">
      <c r="A19" s="90"/>
      <c r="B19" s="90"/>
      <c r="C19" s="90"/>
      <c r="D19" s="90"/>
      <c r="E19" s="90"/>
      <c r="F19" s="90"/>
      <c r="G19" s="90"/>
    </row>
    <row r="20" spans="1:7" ht="15">
      <c r="A20" s="87" t="s">
        <v>416</v>
      </c>
      <c r="B20" s="91"/>
      <c r="C20" s="91"/>
      <c r="D20" s="91"/>
      <c r="E20" s="91"/>
      <c r="F20" s="91"/>
      <c r="G20" s="91"/>
    </row>
    <row r="21" spans="1:7" ht="15">
      <c r="A21" s="87" t="s">
        <v>417</v>
      </c>
      <c r="B21" s="88">
        <v>100</v>
      </c>
    </row>
    <row r="22" spans="1:7" ht="15">
      <c r="A22" s="87" t="s">
        <v>717</v>
      </c>
      <c r="B22" s="89">
        <f>SUM(B21)</f>
        <v>100</v>
      </c>
      <c r="C22" s="87"/>
      <c r="D22" s="87"/>
      <c r="E22" s="87"/>
      <c r="F22" s="87"/>
      <c r="G22" s="87"/>
    </row>
    <row r="23" spans="1:7">
      <c r="A23" s="90"/>
      <c r="B23" s="90"/>
      <c r="C23" s="90"/>
      <c r="D23" s="90"/>
      <c r="E23" s="90"/>
      <c r="F23" s="90"/>
      <c r="G23" s="90"/>
    </row>
    <row r="24" spans="1:7" ht="15">
      <c r="A24" s="87" t="s">
        <v>243</v>
      </c>
      <c r="B24" s="91"/>
      <c r="C24" s="91"/>
      <c r="D24" s="91"/>
      <c r="E24" s="91"/>
      <c r="F24" s="91"/>
      <c r="G24" s="91"/>
    </row>
    <row r="25" spans="1:7" ht="15">
      <c r="A25" s="87" t="s">
        <v>244</v>
      </c>
      <c r="B25" s="88">
        <v>100</v>
      </c>
    </row>
    <row r="26" spans="1:7" ht="15">
      <c r="A26" s="87" t="s">
        <v>717</v>
      </c>
      <c r="B26" s="89">
        <f>SUM(B25)</f>
        <v>100</v>
      </c>
      <c r="C26" s="87"/>
      <c r="D26" s="87"/>
      <c r="E26" s="87"/>
      <c r="F26" s="87"/>
      <c r="G26" s="87"/>
    </row>
  </sheetData>
  <phoneticPr fontId="2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1"/>
  <sheetViews>
    <sheetView tabSelected="1" topLeftCell="C741" workbookViewId="0">
      <selection activeCell="F768" sqref="F768"/>
    </sheetView>
  </sheetViews>
  <sheetFormatPr defaultColWidth="8.75" defaultRowHeight="12.75"/>
  <cols>
    <col min="1" max="1" width="18" customWidth="1"/>
    <col min="2" max="2" width="35" bestFit="1" customWidth="1"/>
    <col min="3" max="3" width="41" bestFit="1" customWidth="1"/>
    <col min="4" max="4" width="12.75" bestFit="1" customWidth="1"/>
    <col min="5" max="5" width="14.125" bestFit="1" customWidth="1"/>
    <col min="6" max="6" width="13.375" customWidth="1"/>
    <col min="7" max="7" width="12.375" customWidth="1"/>
    <col min="8" max="8" width="10.375" bestFit="1" customWidth="1"/>
    <col min="9" max="9" width="28.375" customWidth="1"/>
    <col min="10" max="10" width="9.375" customWidth="1"/>
  </cols>
  <sheetData>
    <row r="1" spans="1:11">
      <c r="A1" s="134" t="s">
        <v>876</v>
      </c>
      <c r="B1" s="135" t="s">
        <v>130</v>
      </c>
      <c r="C1" s="136"/>
    </row>
    <row r="2" spans="1:11" ht="13.5" thickBot="1">
      <c r="A2" s="137" t="s">
        <v>877</v>
      </c>
      <c r="B2" s="138" t="s">
        <v>878</v>
      </c>
      <c r="C2" s="139"/>
    </row>
    <row r="4" spans="1:11">
      <c r="K4">
        <v>1425</v>
      </c>
    </row>
    <row r="5" spans="1:11" ht="12" customHeight="1">
      <c r="A5" s="126" t="s">
        <v>926</v>
      </c>
      <c r="B5" s="127"/>
      <c r="C5" s="127"/>
      <c r="D5" s="128"/>
      <c r="E5" s="128"/>
      <c r="F5" s="129"/>
      <c r="G5" s="129"/>
      <c r="H5" s="129"/>
      <c r="K5">
        <v>1325</v>
      </c>
    </row>
    <row r="6" spans="1:11" ht="12" customHeight="1">
      <c r="A6" s="117"/>
      <c r="B6" s="118" t="s">
        <v>923</v>
      </c>
      <c r="C6" s="118" t="s">
        <v>699</v>
      </c>
      <c r="D6" s="119" t="s">
        <v>700</v>
      </c>
      <c r="E6" s="119" t="s">
        <v>701</v>
      </c>
      <c r="F6" s="120" t="s">
        <v>702</v>
      </c>
      <c r="G6" s="120" t="s">
        <v>703</v>
      </c>
      <c r="H6" s="120" t="s">
        <v>704</v>
      </c>
      <c r="J6" s="154"/>
      <c r="K6">
        <v>120</v>
      </c>
    </row>
    <row r="7" spans="1:11" ht="12" customHeight="1">
      <c r="A7" s="121">
        <v>1</v>
      </c>
      <c r="B7" s="121" t="s">
        <v>928</v>
      </c>
      <c r="C7" s="121"/>
      <c r="D7" s="122"/>
      <c r="E7" s="122"/>
      <c r="F7" s="122"/>
      <c r="G7" s="122"/>
      <c r="H7" s="122"/>
      <c r="K7">
        <v>120</v>
      </c>
    </row>
    <row r="8" spans="1:11" ht="12" customHeight="1">
      <c r="A8" s="121" t="s">
        <v>706</v>
      </c>
      <c r="B8" s="121"/>
      <c r="C8" s="121" t="s">
        <v>925</v>
      </c>
      <c r="D8" s="122">
        <v>60</v>
      </c>
      <c r="E8" s="123"/>
      <c r="F8" s="123"/>
      <c r="G8" s="122"/>
      <c r="H8" s="122"/>
    </row>
    <row r="9" spans="1:11" ht="12" customHeight="1">
      <c r="A9" s="121" t="s">
        <v>709</v>
      </c>
      <c r="B9" s="121"/>
      <c r="C9" s="121" t="s">
        <v>929</v>
      </c>
      <c r="D9" s="122">
        <v>10</v>
      </c>
      <c r="E9" s="123"/>
      <c r="F9" s="123"/>
      <c r="G9" s="122"/>
      <c r="H9" s="122"/>
    </row>
    <row r="10" spans="1:11" ht="12" customHeight="1">
      <c r="A10" s="121" t="s">
        <v>710</v>
      </c>
      <c r="B10" s="121"/>
      <c r="C10" s="121" t="s">
        <v>930</v>
      </c>
      <c r="D10" s="122">
        <v>5</v>
      </c>
      <c r="E10" s="123"/>
      <c r="F10" s="123"/>
      <c r="G10" s="122"/>
      <c r="H10" s="122"/>
    </row>
    <row r="11" spans="1:11" ht="12" customHeight="1">
      <c r="A11" s="121" t="s">
        <v>712</v>
      </c>
      <c r="B11" s="121"/>
      <c r="C11" s="121" t="s">
        <v>931</v>
      </c>
      <c r="D11" s="122">
        <v>5</v>
      </c>
      <c r="E11" s="123"/>
      <c r="F11" s="123"/>
      <c r="G11" s="122"/>
      <c r="H11" s="122"/>
    </row>
    <row r="12" spans="1:11" ht="12" customHeight="1">
      <c r="A12" s="124"/>
      <c r="B12" s="124"/>
      <c r="C12" s="124" t="s">
        <v>924</v>
      </c>
      <c r="D12" s="125">
        <f>SUM(D7:D11)</f>
        <v>80</v>
      </c>
      <c r="E12" s="125">
        <f>SUM(E7:E11)</f>
        <v>0</v>
      </c>
      <c r="F12" s="125">
        <f>SUM(F7:F11)</f>
        <v>0</v>
      </c>
      <c r="G12" s="125">
        <f>SUM(G7:G11)</f>
        <v>0</v>
      </c>
      <c r="H12" s="125">
        <f>SUM(H7:H11)</f>
        <v>0</v>
      </c>
    </row>
    <row r="13" spans="1:11" ht="12" customHeight="1">
      <c r="A13" s="121">
        <v>2</v>
      </c>
      <c r="B13" s="121" t="s">
        <v>932</v>
      </c>
      <c r="C13" s="121"/>
      <c r="D13" s="122"/>
      <c r="E13" s="122"/>
      <c r="F13" s="122"/>
      <c r="G13" s="122"/>
      <c r="H13" s="122"/>
    </row>
    <row r="14" spans="1:11" ht="12" customHeight="1">
      <c r="A14" s="121" t="s">
        <v>706</v>
      </c>
      <c r="B14" s="121"/>
      <c r="C14" s="121" t="s">
        <v>933</v>
      </c>
      <c r="D14" s="122">
        <v>3000</v>
      </c>
      <c r="E14" s="123">
        <v>1500</v>
      </c>
      <c r="F14" s="123">
        <v>1500</v>
      </c>
      <c r="G14" s="122">
        <f>1500</f>
        <v>1500</v>
      </c>
      <c r="H14" s="122">
        <f>0</f>
        <v>0</v>
      </c>
      <c r="J14">
        <f>50+20+64.59+440</f>
        <v>574.59</v>
      </c>
    </row>
    <row r="15" spans="1:11" ht="12" customHeight="1">
      <c r="A15" s="121" t="s">
        <v>709</v>
      </c>
      <c r="B15" s="121"/>
      <c r="C15" s="121" t="s">
        <v>935</v>
      </c>
      <c r="D15" s="122">
        <v>800</v>
      </c>
      <c r="E15" s="123">
        <v>440</v>
      </c>
      <c r="F15" s="123">
        <v>440</v>
      </c>
      <c r="G15" s="122">
        <f>440</f>
        <v>440</v>
      </c>
      <c r="H15" s="122">
        <f>0</f>
        <v>0</v>
      </c>
    </row>
    <row r="16" spans="1:11" ht="12" customHeight="1">
      <c r="A16" s="121" t="s">
        <v>710</v>
      </c>
      <c r="B16" s="121"/>
      <c r="C16" s="121" t="s">
        <v>361</v>
      </c>
      <c r="D16" s="122">
        <v>9</v>
      </c>
      <c r="E16" s="123">
        <v>9</v>
      </c>
      <c r="F16" s="123">
        <v>9</v>
      </c>
      <c r="G16" s="122"/>
      <c r="H16" s="122"/>
    </row>
    <row r="17" spans="1:8" ht="12" customHeight="1">
      <c r="A17" s="124"/>
      <c r="B17" s="124"/>
      <c r="C17" s="124" t="s">
        <v>924</v>
      </c>
      <c r="D17" s="125">
        <f>SUM(D13:D16)</f>
        <v>3809</v>
      </c>
      <c r="E17" s="125">
        <f>SUM(E13:E16)</f>
        <v>1949</v>
      </c>
      <c r="F17" s="125">
        <f>SUM(F13:F16)</f>
        <v>1949</v>
      </c>
      <c r="G17" s="125">
        <f>SUM(G13:G15)</f>
        <v>1940</v>
      </c>
      <c r="H17" s="125">
        <f>SUM(H13:H15)</f>
        <v>0</v>
      </c>
    </row>
    <row r="18" spans="1:8" ht="12" customHeight="1">
      <c r="A18" s="121">
        <v>3</v>
      </c>
      <c r="B18" s="121" t="s">
        <v>934</v>
      </c>
      <c r="C18" s="121"/>
      <c r="D18" s="122"/>
      <c r="E18" s="122"/>
      <c r="F18" s="122"/>
      <c r="G18" s="122"/>
      <c r="H18" s="122"/>
    </row>
    <row r="19" spans="1:8" ht="12" customHeight="1">
      <c r="A19" s="121" t="s">
        <v>706</v>
      </c>
      <c r="B19" s="121"/>
      <c r="C19" s="121" t="s">
        <v>711</v>
      </c>
      <c r="D19" s="122">
        <v>50</v>
      </c>
      <c r="E19" s="123">
        <v>50</v>
      </c>
      <c r="F19" s="123">
        <v>50</v>
      </c>
      <c r="G19" s="122"/>
      <c r="H19" s="122"/>
    </row>
    <row r="20" spans="1:8" ht="12" customHeight="1">
      <c r="A20" s="121" t="s">
        <v>706</v>
      </c>
      <c r="B20" s="121"/>
      <c r="C20" s="121" t="s">
        <v>592</v>
      </c>
      <c r="D20" s="122">
        <v>9</v>
      </c>
      <c r="E20" s="123">
        <v>9</v>
      </c>
      <c r="F20" s="123">
        <v>9</v>
      </c>
      <c r="G20" s="122"/>
      <c r="H20" s="122"/>
    </row>
    <row r="21" spans="1:8" ht="12" customHeight="1">
      <c r="A21" s="124"/>
      <c r="B21" s="124"/>
      <c r="C21" s="124" t="s">
        <v>924</v>
      </c>
      <c r="D21" s="125">
        <f>SUM(D18:D20)</f>
        <v>59</v>
      </c>
      <c r="E21" s="125">
        <f>SUM(E18:E20)</f>
        <v>59</v>
      </c>
      <c r="F21" s="125">
        <f>SUM(F18:F20)</f>
        <v>59</v>
      </c>
      <c r="G21" s="125">
        <f>SUM(G18:G20)</f>
        <v>0</v>
      </c>
      <c r="H21" s="125">
        <f>SUM(H18:H20)</f>
        <v>0</v>
      </c>
    </row>
    <row r="22" spans="1:8" ht="12" customHeight="1">
      <c r="A22" s="121">
        <v>4</v>
      </c>
      <c r="B22" s="121" t="s">
        <v>936</v>
      </c>
      <c r="C22" s="121"/>
      <c r="D22" s="122"/>
      <c r="E22" s="122"/>
      <c r="F22" s="122"/>
      <c r="G22" s="122"/>
      <c r="H22" s="122"/>
    </row>
    <row r="23" spans="1:8" ht="12" customHeight="1">
      <c r="A23" s="121" t="s">
        <v>706</v>
      </c>
      <c r="B23" s="121"/>
      <c r="C23" s="121" t="s">
        <v>937</v>
      </c>
      <c r="D23" s="122">
        <v>750</v>
      </c>
      <c r="E23" s="122">
        <v>750</v>
      </c>
      <c r="F23" s="123">
        <v>750</v>
      </c>
      <c r="G23" s="122"/>
      <c r="H23" s="122"/>
    </row>
    <row r="24" spans="1:8" ht="12" customHeight="1">
      <c r="A24" s="121" t="s">
        <v>709</v>
      </c>
      <c r="B24" s="121"/>
      <c r="C24" s="121" t="s">
        <v>916</v>
      </c>
      <c r="D24" s="122">
        <v>500</v>
      </c>
      <c r="E24" s="122">
        <v>500</v>
      </c>
      <c r="F24" s="122">
        <v>500</v>
      </c>
      <c r="G24" s="122">
        <f>225</f>
        <v>225</v>
      </c>
      <c r="H24" s="122"/>
    </row>
    <row r="25" spans="1:8" ht="12" customHeight="1">
      <c r="A25" s="121" t="s">
        <v>710</v>
      </c>
      <c r="B25" s="121"/>
      <c r="C25" s="121" t="s">
        <v>940</v>
      </c>
      <c r="D25" s="122">
        <v>300</v>
      </c>
      <c r="E25" s="122">
        <v>300</v>
      </c>
      <c r="F25" s="122">
        <v>300</v>
      </c>
      <c r="G25" s="122"/>
      <c r="H25" s="122"/>
    </row>
    <row r="26" spans="1:8" ht="12" customHeight="1">
      <c r="A26" s="121" t="s">
        <v>712</v>
      </c>
      <c r="B26" s="121"/>
      <c r="C26" s="121" t="s">
        <v>939</v>
      </c>
      <c r="D26" s="122">
        <v>150</v>
      </c>
      <c r="E26" s="122">
        <v>150</v>
      </c>
      <c r="F26" s="122">
        <v>150</v>
      </c>
      <c r="G26" s="122"/>
      <c r="H26" s="122"/>
    </row>
    <row r="27" spans="1:8" ht="12" customHeight="1">
      <c r="A27" s="121" t="s">
        <v>713</v>
      </c>
      <c r="B27" s="121"/>
      <c r="C27" s="121" t="s">
        <v>938</v>
      </c>
      <c r="D27" s="122">
        <v>400</v>
      </c>
      <c r="E27" s="122">
        <v>400</v>
      </c>
      <c r="F27" s="122">
        <v>400</v>
      </c>
      <c r="G27" s="122"/>
      <c r="H27" s="122"/>
    </row>
    <row r="28" spans="1:8" ht="12" customHeight="1">
      <c r="A28" s="124"/>
      <c r="B28" s="124"/>
      <c r="C28" s="124" t="s">
        <v>924</v>
      </c>
      <c r="D28" s="125">
        <f>SUM(D22:D27)</f>
        <v>2100</v>
      </c>
      <c r="E28" s="125">
        <f>SUM(E22:E27)</f>
        <v>2100</v>
      </c>
      <c r="F28" s="125">
        <f>SUM(F22:F27)</f>
        <v>2100</v>
      </c>
      <c r="G28" s="125">
        <f>SUM(G22:G27)</f>
        <v>225</v>
      </c>
      <c r="H28" s="125">
        <f>SUM(H22:H27)</f>
        <v>0</v>
      </c>
    </row>
    <row r="29" spans="1:8" ht="12" customHeight="1">
      <c r="A29" s="121">
        <v>5</v>
      </c>
      <c r="B29" s="121" t="s">
        <v>941</v>
      </c>
      <c r="C29" s="121"/>
      <c r="D29" s="122"/>
      <c r="E29" s="122"/>
      <c r="F29" s="122"/>
      <c r="G29" s="122"/>
      <c r="H29" s="122"/>
    </row>
    <row r="30" spans="1:8" ht="12" customHeight="1">
      <c r="A30" s="121" t="s">
        <v>706</v>
      </c>
      <c r="B30" s="121"/>
      <c r="C30" s="121" t="s">
        <v>711</v>
      </c>
      <c r="D30" s="122">
        <v>50</v>
      </c>
      <c r="E30" s="122">
        <v>50</v>
      </c>
      <c r="F30" s="122">
        <v>50</v>
      </c>
      <c r="G30" s="122">
        <f>50</f>
        <v>50</v>
      </c>
      <c r="H30" s="122">
        <v>0</v>
      </c>
    </row>
    <row r="31" spans="1:8" ht="12" customHeight="1">
      <c r="A31" s="121" t="s">
        <v>709</v>
      </c>
      <c r="B31" s="121"/>
      <c r="C31" s="121" t="s">
        <v>708</v>
      </c>
      <c r="D31" s="122">
        <v>9</v>
      </c>
      <c r="E31" s="122">
        <v>9</v>
      </c>
      <c r="F31" s="122">
        <v>9</v>
      </c>
      <c r="G31" s="122"/>
      <c r="H31" s="122"/>
    </row>
    <row r="32" spans="1:8" ht="12" customHeight="1">
      <c r="A32" s="124"/>
      <c r="B32" s="124"/>
      <c r="C32" s="124" t="s">
        <v>924</v>
      </c>
      <c r="D32" s="125">
        <f>SUM(D29:D31)</f>
        <v>59</v>
      </c>
      <c r="E32" s="125">
        <f>SUM(E29:E31)</f>
        <v>59</v>
      </c>
      <c r="F32" s="125">
        <f>SUM(F29:F31)</f>
        <v>59</v>
      </c>
      <c r="G32" s="125">
        <f>SUM(G29:G31)</f>
        <v>50</v>
      </c>
      <c r="H32" s="125">
        <f>SUM(H29:H31)</f>
        <v>0</v>
      </c>
    </row>
    <row r="33" spans="1:8" ht="12" customHeight="1">
      <c r="A33" s="121">
        <v>6</v>
      </c>
      <c r="B33" s="121" t="s">
        <v>942</v>
      </c>
      <c r="C33" s="121"/>
      <c r="D33" s="122"/>
      <c r="E33" s="122"/>
      <c r="F33" s="122"/>
      <c r="G33" s="122"/>
      <c r="H33" s="122"/>
    </row>
    <row r="34" spans="1:8" ht="12" customHeight="1">
      <c r="A34" s="121" t="s">
        <v>706</v>
      </c>
      <c r="B34" s="121"/>
      <c r="C34" s="121" t="s">
        <v>943</v>
      </c>
      <c r="D34" s="122">
        <v>10</v>
      </c>
      <c r="E34" s="123">
        <v>9</v>
      </c>
      <c r="F34" s="123">
        <v>9</v>
      </c>
      <c r="G34" s="122"/>
      <c r="H34" s="122"/>
    </row>
    <row r="35" spans="1:8" ht="12" customHeight="1">
      <c r="A35" s="121" t="s">
        <v>709</v>
      </c>
      <c r="B35" s="121"/>
      <c r="C35" s="121" t="s">
        <v>944</v>
      </c>
      <c r="D35" s="122">
        <v>72</v>
      </c>
      <c r="E35" s="123">
        <v>50</v>
      </c>
      <c r="F35" s="123">
        <v>50</v>
      </c>
      <c r="G35" s="122"/>
      <c r="H35" s="122"/>
    </row>
    <row r="36" spans="1:8" ht="12" customHeight="1">
      <c r="A36" s="124"/>
      <c r="B36" s="124"/>
      <c r="C36" s="124" t="s">
        <v>924</v>
      </c>
      <c r="D36" s="125">
        <f>SUM(D33:D35)</f>
        <v>82</v>
      </c>
      <c r="E36" s="125">
        <f>SUM(E33:E35)</f>
        <v>59</v>
      </c>
      <c r="F36" s="125">
        <f>SUM(F33:F35)</f>
        <v>59</v>
      </c>
      <c r="G36" s="125">
        <f>SUM(G33:G35)</f>
        <v>0</v>
      </c>
      <c r="H36" s="125">
        <f>SUM(H33:H35)</f>
        <v>0</v>
      </c>
    </row>
    <row r="37" spans="1:8">
      <c r="A37" s="121">
        <v>7</v>
      </c>
      <c r="B37" s="121" t="s">
        <v>945</v>
      </c>
      <c r="C37" s="121"/>
      <c r="D37" s="122"/>
      <c r="E37" s="122"/>
      <c r="F37" s="122"/>
      <c r="G37" s="122"/>
      <c r="H37" s="122"/>
    </row>
    <row r="38" spans="1:8">
      <c r="A38" s="121" t="s">
        <v>706</v>
      </c>
      <c r="B38" s="121"/>
      <c r="C38" s="121" t="s">
        <v>946</v>
      </c>
      <c r="D38" s="122">
        <v>500</v>
      </c>
      <c r="E38" s="123">
        <v>500</v>
      </c>
      <c r="F38" s="123">
        <v>500</v>
      </c>
      <c r="G38" s="122">
        <f>455</f>
        <v>455</v>
      </c>
      <c r="H38" s="122">
        <f>F38-G38</f>
        <v>45</v>
      </c>
    </row>
    <row r="39" spans="1:8">
      <c r="A39" s="124"/>
      <c r="B39" s="124"/>
      <c r="C39" s="124" t="s">
        <v>924</v>
      </c>
      <c r="D39" s="125">
        <f>SUM(D38:D38)</f>
        <v>500</v>
      </c>
      <c r="E39" s="125">
        <f>SUM(E38:E38)</f>
        <v>500</v>
      </c>
      <c r="F39" s="125">
        <f>SUM(F38:F38)</f>
        <v>500</v>
      </c>
      <c r="G39" s="125">
        <f>SUM(G38:G38)</f>
        <v>455</v>
      </c>
      <c r="H39" s="125">
        <f>SUM(H38:H38)</f>
        <v>45</v>
      </c>
    </row>
    <row r="40" spans="1:8">
      <c r="A40" s="121">
        <v>8</v>
      </c>
      <c r="B40" s="121" t="s">
        <v>947</v>
      </c>
      <c r="C40" s="121"/>
      <c r="D40" s="122"/>
      <c r="E40" s="122"/>
      <c r="F40" s="122"/>
      <c r="G40" s="122"/>
      <c r="H40" s="122"/>
    </row>
    <row r="41" spans="1:8">
      <c r="A41" s="121" t="s">
        <v>706</v>
      </c>
      <c r="B41" s="121"/>
      <c r="C41" s="121" t="s">
        <v>948</v>
      </c>
      <c r="D41" s="122">
        <v>1500</v>
      </c>
      <c r="E41" s="122">
        <v>2000</v>
      </c>
      <c r="F41" s="122">
        <v>2000</v>
      </c>
      <c r="G41" s="122"/>
      <c r="H41" s="122"/>
    </row>
    <row r="42" spans="1:8">
      <c r="A42" s="121" t="s">
        <v>709</v>
      </c>
      <c r="B42" s="121"/>
      <c r="C42" s="121" t="s">
        <v>770</v>
      </c>
      <c r="D42" s="122">
        <v>50</v>
      </c>
      <c r="E42" s="122">
        <v>50</v>
      </c>
      <c r="F42" s="122">
        <v>50</v>
      </c>
      <c r="G42" s="122"/>
      <c r="H42" s="122"/>
    </row>
    <row r="43" spans="1:8">
      <c r="A43" s="121" t="s">
        <v>710</v>
      </c>
      <c r="B43" s="121"/>
      <c r="C43" s="121" t="s">
        <v>708</v>
      </c>
      <c r="D43" s="122">
        <v>10</v>
      </c>
      <c r="E43" s="123">
        <v>9</v>
      </c>
      <c r="F43" s="123">
        <v>9</v>
      </c>
      <c r="G43" s="122"/>
      <c r="H43" s="122"/>
    </row>
    <row r="44" spans="1:8">
      <c r="A44" s="121" t="s">
        <v>712</v>
      </c>
      <c r="B44" s="121"/>
      <c r="C44" s="121" t="s">
        <v>690</v>
      </c>
      <c r="D44" s="122">
        <v>100</v>
      </c>
      <c r="E44" s="123">
        <v>118.8</v>
      </c>
      <c r="F44" s="123">
        <v>118.8</v>
      </c>
      <c r="G44" s="122"/>
      <c r="H44" s="122"/>
    </row>
    <row r="45" spans="1:8">
      <c r="A45" s="124"/>
      <c r="B45" s="124"/>
      <c r="C45" s="124" t="s">
        <v>924</v>
      </c>
      <c r="D45" s="125">
        <f>SUM(D40:D44)</f>
        <v>1660</v>
      </c>
      <c r="E45" s="125">
        <f>SUM(E40:E44)</f>
        <v>2177.8000000000002</v>
      </c>
      <c r="F45" s="125">
        <f>SUM(F40:F44)</f>
        <v>2177.8000000000002</v>
      </c>
      <c r="G45" s="125">
        <f>SUM(G40:G44)</f>
        <v>0</v>
      </c>
      <c r="H45" s="125">
        <f>SUM(H40:H44)</f>
        <v>0</v>
      </c>
    </row>
    <row r="46" spans="1:8">
      <c r="A46" s="121">
        <v>9</v>
      </c>
      <c r="B46" s="121" t="s">
        <v>325</v>
      </c>
      <c r="C46" s="121"/>
      <c r="D46" s="122"/>
      <c r="E46" s="122"/>
      <c r="F46" s="122"/>
      <c r="G46" s="122"/>
      <c r="H46" s="122"/>
    </row>
    <row r="47" spans="1:8">
      <c r="A47" s="121" t="s">
        <v>709</v>
      </c>
      <c r="B47" s="121"/>
      <c r="C47" s="121" t="s">
        <v>771</v>
      </c>
      <c r="D47" s="122">
        <v>175</v>
      </c>
      <c r="E47" s="122">
        <v>175</v>
      </c>
      <c r="F47" s="122">
        <v>175</v>
      </c>
      <c r="G47" s="122">
        <f>175</f>
        <v>175</v>
      </c>
      <c r="H47" s="122"/>
    </row>
    <row r="48" spans="1:8">
      <c r="A48" s="124"/>
      <c r="B48" s="124"/>
      <c r="C48" s="124" t="s">
        <v>924</v>
      </c>
      <c r="D48" s="125">
        <f>SUM(D47:D47)</f>
        <v>175</v>
      </c>
      <c r="E48" s="125">
        <f>SUM(E47:E47)</f>
        <v>175</v>
      </c>
      <c r="F48" s="125">
        <f>SUM(F47:F47)</f>
        <v>175</v>
      </c>
      <c r="G48" s="125">
        <f>SUM(G47:G47)</f>
        <v>175</v>
      </c>
      <c r="H48" s="125">
        <f>SUM(H47:H47)</f>
        <v>0</v>
      </c>
    </row>
    <row r="49" spans="1:9">
      <c r="A49" s="121">
        <v>10</v>
      </c>
      <c r="B49" s="121" t="s">
        <v>772</v>
      </c>
      <c r="C49" s="121"/>
      <c r="D49" s="122"/>
      <c r="E49" s="122"/>
      <c r="F49" s="122"/>
      <c r="G49" s="122"/>
      <c r="H49" s="122"/>
    </row>
    <row r="50" spans="1:9">
      <c r="A50" s="121" t="s">
        <v>706</v>
      </c>
      <c r="B50" s="121"/>
      <c r="C50" s="121" t="s">
        <v>773</v>
      </c>
      <c r="D50" s="122">
        <v>53.96</v>
      </c>
      <c r="E50" s="123"/>
      <c r="F50" s="123"/>
      <c r="G50" s="122"/>
      <c r="H50" s="122"/>
    </row>
    <row r="51" spans="1:9">
      <c r="A51" s="121" t="s">
        <v>709</v>
      </c>
      <c r="B51" s="121"/>
      <c r="C51" s="121" t="s">
        <v>774</v>
      </c>
      <c r="D51" s="122">
        <v>31</v>
      </c>
      <c r="E51" s="123"/>
      <c r="F51" s="123"/>
      <c r="G51" s="122"/>
      <c r="H51" s="122"/>
    </row>
    <row r="52" spans="1:9">
      <c r="A52" s="124"/>
      <c r="B52" s="124"/>
      <c r="C52" s="124" t="s">
        <v>924</v>
      </c>
      <c r="D52" s="125">
        <f>SUM(D49:D51)</f>
        <v>84.960000000000008</v>
      </c>
      <c r="E52" s="125">
        <f>SUM(E49:E51)</f>
        <v>0</v>
      </c>
      <c r="F52" s="125">
        <f>SUM(F49:F51)</f>
        <v>0</v>
      </c>
      <c r="G52" s="125">
        <f>SUM(G49:G51)</f>
        <v>0</v>
      </c>
      <c r="H52" s="125">
        <f>SUM(H49:H51)</f>
        <v>0</v>
      </c>
    </row>
    <row r="53" spans="1:9">
      <c r="A53" s="121">
        <v>11</v>
      </c>
      <c r="B53" s="121" t="s">
        <v>725</v>
      </c>
      <c r="C53" s="121"/>
      <c r="D53" s="122"/>
      <c r="E53" s="122"/>
      <c r="F53" s="122"/>
      <c r="G53" s="122"/>
      <c r="H53" s="122"/>
    </row>
    <row r="54" spans="1:9">
      <c r="A54" s="121" t="s">
        <v>706</v>
      </c>
      <c r="B54" s="121"/>
      <c r="C54" s="121" t="s">
        <v>864</v>
      </c>
      <c r="D54" s="122">
        <v>2500</v>
      </c>
      <c r="E54" s="122">
        <v>2500</v>
      </c>
      <c r="F54" s="122">
        <v>2500</v>
      </c>
      <c r="G54" s="122"/>
      <c r="H54" s="122"/>
    </row>
    <row r="55" spans="1:9">
      <c r="A55" s="121" t="s">
        <v>709</v>
      </c>
      <c r="B55" s="121"/>
      <c r="C55" s="121" t="s">
        <v>863</v>
      </c>
      <c r="D55" s="122">
        <v>1500</v>
      </c>
      <c r="E55" s="122">
        <v>1500</v>
      </c>
      <c r="F55" s="122">
        <v>1500</v>
      </c>
      <c r="G55" s="122"/>
      <c r="H55" s="122"/>
    </row>
    <row r="56" spans="1:9">
      <c r="A56" s="121" t="s">
        <v>710</v>
      </c>
      <c r="B56" s="121"/>
      <c r="C56" s="121" t="s">
        <v>865</v>
      </c>
      <c r="D56" s="122">
        <v>331.35</v>
      </c>
      <c r="E56" s="122">
        <v>331.35</v>
      </c>
      <c r="F56" s="122">
        <v>331.35</v>
      </c>
      <c r="G56" s="122"/>
      <c r="H56" s="122"/>
    </row>
    <row r="57" spans="1:9">
      <c r="A57" s="124"/>
      <c r="B57" s="124"/>
      <c r="C57" s="124" t="s">
        <v>924</v>
      </c>
      <c r="D57" s="125">
        <f>SUM(D54:D56)</f>
        <v>4331.3500000000004</v>
      </c>
      <c r="E57" s="125">
        <f>SUM(E54:E56)</f>
        <v>4331.3500000000004</v>
      </c>
      <c r="F57" s="125">
        <f>SUM(F54:F56)</f>
        <v>4331.3500000000004</v>
      </c>
      <c r="G57" s="125">
        <f>SUM(G55:G55)</f>
        <v>0</v>
      </c>
      <c r="H57" s="125">
        <f>SUM(H55:H55)</f>
        <v>0</v>
      </c>
    </row>
    <row r="58" spans="1:9">
      <c r="A58" s="121">
        <v>12</v>
      </c>
      <c r="B58" s="121" t="s">
        <v>779</v>
      </c>
      <c r="C58" s="121"/>
      <c r="D58" s="122"/>
      <c r="E58" s="122"/>
      <c r="F58" s="122"/>
      <c r="G58" s="122"/>
      <c r="H58" s="122"/>
    </row>
    <row r="59" spans="1:9">
      <c r="A59" s="121" t="s">
        <v>706</v>
      </c>
      <c r="B59" s="121"/>
      <c r="C59" s="121" t="s">
        <v>775</v>
      </c>
      <c r="D59" s="122">
        <v>30</v>
      </c>
      <c r="E59" s="122">
        <v>30</v>
      </c>
      <c r="F59" s="122">
        <v>30</v>
      </c>
      <c r="G59" s="122">
        <f>15.3+5.36666667</f>
        <v>20.666666670000001</v>
      </c>
      <c r="H59" s="122">
        <f>F59-G59</f>
        <v>9.3333333299999985</v>
      </c>
      <c r="I59">
        <f>15.3+102+140.22</f>
        <v>257.52</v>
      </c>
    </row>
    <row r="60" spans="1:9">
      <c r="A60" s="121" t="s">
        <v>709</v>
      </c>
      <c r="B60" s="121"/>
      <c r="C60" s="121" t="s">
        <v>776</v>
      </c>
      <c r="D60" s="122">
        <v>240</v>
      </c>
      <c r="E60" s="122">
        <v>240</v>
      </c>
      <c r="F60" s="122">
        <v>240</v>
      </c>
      <c r="G60" s="122">
        <f>102+5.366666667</f>
        <v>107.366666667</v>
      </c>
      <c r="H60" s="122">
        <f>F60-G60</f>
        <v>132.633333333</v>
      </c>
      <c r="I60">
        <f>273.62-257.52</f>
        <v>16.100000000000023</v>
      </c>
    </row>
    <row r="61" spans="1:9">
      <c r="A61" s="121" t="s">
        <v>710</v>
      </c>
      <c r="B61" s="121"/>
      <c r="C61" s="121" t="s">
        <v>777</v>
      </c>
      <c r="D61" s="122">
        <v>165</v>
      </c>
      <c r="E61" s="122">
        <v>165</v>
      </c>
      <c r="F61" s="122">
        <v>165</v>
      </c>
      <c r="G61" s="122">
        <f>140.22+5.366666667</f>
        <v>145.586666667</v>
      </c>
      <c r="H61" s="122">
        <f>F61-G61</f>
        <v>19.413333332999997</v>
      </c>
      <c r="I61">
        <f>16.1/3</f>
        <v>5.3666666666666671</v>
      </c>
    </row>
    <row r="62" spans="1:9">
      <c r="A62" s="121" t="s">
        <v>712</v>
      </c>
      <c r="B62" s="121"/>
      <c r="C62" s="121" t="s">
        <v>778</v>
      </c>
      <c r="D62" s="122">
        <v>250</v>
      </c>
      <c r="E62" s="122">
        <v>250</v>
      </c>
      <c r="F62" s="122">
        <v>250</v>
      </c>
      <c r="G62" s="122"/>
      <c r="H62" s="122"/>
    </row>
    <row r="63" spans="1:9">
      <c r="A63" s="124"/>
      <c r="B63" s="124"/>
      <c r="C63" s="124" t="s">
        <v>924</v>
      </c>
      <c r="D63" s="125">
        <f>SUM(D58:D62)</f>
        <v>685</v>
      </c>
      <c r="E63" s="125">
        <f>SUM(E58:E62)</f>
        <v>685</v>
      </c>
      <c r="F63" s="125">
        <f>SUM(F58:F62)</f>
        <v>685</v>
      </c>
      <c r="G63" s="125">
        <f>SUM(G58:G62)</f>
        <v>273.62000000400002</v>
      </c>
      <c r="H63" s="125">
        <f>SUM(H58:H62)</f>
        <v>161.37999999599998</v>
      </c>
    </row>
    <row r="64" spans="1:9">
      <c r="A64" s="121">
        <v>13</v>
      </c>
      <c r="B64" s="121" t="s">
        <v>780</v>
      </c>
      <c r="C64" s="121"/>
      <c r="D64" s="122"/>
      <c r="E64" s="122"/>
      <c r="F64" s="122"/>
      <c r="G64" s="122"/>
      <c r="H64" s="122"/>
    </row>
    <row r="65" spans="1:8">
      <c r="A65" s="121" t="s">
        <v>706</v>
      </c>
      <c r="B65" s="121"/>
      <c r="C65" s="121" t="s">
        <v>711</v>
      </c>
      <c r="D65" s="122">
        <v>50</v>
      </c>
      <c r="E65" s="122">
        <v>50</v>
      </c>
      <c r="F65" s="122">
        <v>50</v>
      </c>
      <c r="G65" s="122">
        <f>44+6</f>
        <v>50</v>
      </c>
      <c r="H65" s="122"/>
    </row>
    <row r="66" spans="1:8">
      <c r="A66" s="121" t="s">
        <v>709</v>
      </c>
      <c r="B66" s="121"/>
      <c r="C66" s="121" t="s">
        <v>708</v>
      </c>
      <c r="D66" s="122">
        <v>9</v>
      </c>
      <c r="E66" s="122">
        <v>9</v>
      </c>
      <c r="F66" s="122">
        <v>9</v>
      </c>
      <c r="G66" s="122"/>
      <c r="H66" s="122"/>
    </row>
    <row r="67" spans="1:8">
      <c r="A67" s="121" t="s">
        <v>710</v>
      </c>
      <c r="B67" s="121"/>
      <c r="C67" s="121" t="s">
        <v>781</v>
      </c>
      <c r="D67" s="122">
        <v>85</v>
      </c>
      <c r="E67" s="122">
        <v>85</v>
      </c>
      <c r="F67" s="122">
        <v>85</v>
      </c>
      <c r="G67" s="122"/>
      <c r="H67" s="122"/>
    </row>
    <row r="68" spans="1:8">
      <c r="A68" s="121" t="s">
        <v>712</v>
      </c>
      <c r="B68" s="121"/>
      <c r="C68" s="121" t="s">
        <v>782</v>
      </c>
      <c r="D68" s="122">
        <v>10</v>
      </c>
      <c r="E68" s="122">
        <v>10</v>
      </c>
      <c r="F68" s="122">
        <v>10</v>
      </c>
      <c r="G68" s="122"/>
      <c r="H68" s="122"/>
    </row>
    <row r="69" spans="1:8">
      <c r="A69" s="121" t="s">
        <v>713</v>
      </c>
      <c r="B69" s="121"/>
      <c r="C69" s="121" t="s">
        <v>615</v>
      </c>
      <c r="D69" s="122">
        <v>30</v>
      </c>
      <c r="E69" s="122">
        <v>30</v>
      </c>
      <c r="F69" s="122">
        <v>30</v>
      </c>
      <c r="G69" s="122"/>
      <c r="H69" s="122"/>
    </row>
    <row r="70" spans="1:8">
      <c r="A70" s="121" t="s">
        <v>714</v>
      </c>
      <c r="B70" s="121"/>
      <c r="C70" s="121" t="s">
        <v>783</v>
      </c>
      <c r="D70" s="122">
        <v>20</v>
      </c>
      <c r="E70" s="122">
        <v>20</v>
      </c>
      <c r="F70" s="122">
        <v>20</v>
      </c>
      <c r="G70" s="122"/>
      <c r="H70" s="122"/>
    </row>
    <row r="71" spans="1:8">
      <c r="A71" s="121" t="s">
        <v>715</v>
      </c>
      <c r="B71" s="121"/>
      <c r="C71" s="121" t="s">
        <v>784</v>
      </c>
      <c r="D71" s="122">
        <v>75</v>
      </c>
      <c r="E71" s="122">
        <v>75</v>
      </c>
      <c r="F71" s="122">
        <v>75</v>
      </c>
      <c r="G71" s="122"/>
      <c r="H71" s="122"/>
    </row>
    <row r="72" spans="1:8">
      <c r="A72" s="121" t="s">
        <v>716</v>
      </c>
      <c r="B72" s="121"/>
      <c r="C72" s="121" t="s">
        <v>785</v>
      </c>
      <c r="D72" s="122">
        <v>10</v>
      </c>
      <c r="E72" s="122">
        <v>10</v>
      </c>
      <c r="F72" s="122">
        <v>10</v>
      </c>
      <c r="G72" s="122"/>
      <c r="H72" s="122"/>
    </row>
    <row r="73" spans="1:8">
      <c r="A73" s="121" t="s">
        <v>911</v>
      </c>
      <c r="B73" s="121"/>
      <c r="C73" s="121" t="s">
        <v>786</v>
      </c>
      <c r="D73" s="122">
        <v>9</v>
      </c>
      <c r="E73" s="122">
        <v>9</v>
      </c>
      <c r="F73" s="122">
        <v>9</v>
      </c>
      <c r="G73" s="122">
        <f>9</f>
        <v>9</v>
      </c>
      <c r="H73" s="122"/>
    </row>
    <row r="74" spans="1:8">
      <c r="A74" s="121" t="s">
        <v>501</v>
      </c>
      <c r="B74" s="121"/>
      <c r="C74" s="121" t="s">
        <v>787</v>
      </c>
      <c r="D74" s="122">
        <v>20</v>
      </c>
      <c r="E74" s="122">
        <v>20</v>
      </c>
      <c r="F74" s="122">
        <v>20</v>
      </c>
      <c r="G74" s="122"/>
      <c r="H74" s="122"/>
    </row>
    <row r="75" spans="1:8">
      <c r="A75" s="121" t="s">
        <v>857</v>
      </c>
      <c r="B75" s="121"/>
      <c r="C75" s="121" t="s">
        <v>788</v>
      </c>
      <c r="D75" s="122">
        <v>500</v>
      </c>
      <c r="E75" s="122" t="s">
        <v>862</v>
      </c>
      <c r="F75" s="122" t="s">
        <v>862</v>
      </c>
      <c r="G75" s="122"/>
      <c r="H75" s="122"/>
    </row>
    <row r="76" spans="1:8">
      <c r="A76" s="121" t="s">
        <v>858</v>
      </c>
      <c r="B76" s="121"/>
      <c r="C76" s="121" t="s">
        <v>789</v>
      </c>
      <c r="D76" s="122">
        <v>125</v>
      </c>
      <c r="E76" s="123" t="s">
        <v>862</v>
      </c>
      <c r="F76" s="123" t="s">
        <v>862</v>
      </c>
      <c r="G76" s="122"/>
      <c r="H76" s="122"/>
    </row>
    <row r="77" spans="1:8">
      <c r="A77" s="121" t="s">
        <v>859</v>
      </c>
      <c r="B77" s="121"/>
      <c r="C77" s="121" t="s">
        <v>790</v>
      </c>
      <c r="D77" s="122">
        <v>9</v>
      </c>
      <c r="E77" s="122">
        <v>9</v>
      </c>
      <c r="F77" s="122">
        <v>9</v>
      </c>
      <c r="G77" s="122"/>
      <c r="H77" s="122"/>
    </row>
    <row r="78" spans="1:8">
      <c r="A78" s="121" t="s">
        <v>860</v>
      </c>
      <c r="B78" s="121"/>
      <c r="C78" s="121" t="s">
        <v>791</v>
      </c>
      <c r="D78" s="122">
        <v>200</v>
      </c>
      <c r="E78" s="123" t="s">
        <v>862</v>
      </c>
      <c r="F78" s="123" t="s">
        <v>862</v>
      </c>
      <c r="G78" s="122"/>
      <c r="H78" s="122"/>
    </row>
    <row r="79" spans="1:8">
      <c r="A79" s="121" t="s">
        <v>861</v>
      </c>
      <c r="B79" s="121"/>
      <c r="C79" s="121" t="s">
        <v>792</v>
      </c>
      <c r="D79" s="122">
        <v>130</v>
      </c>
      <c r="E79" s="123" t="s">
        <v>862</v>
      </c>
      <c r="F79" s="123" t="s">
        <v>862</v>
      </c>
      <c r="G79" s="122"/>
      <c r="H79" s="122"/>
    </row>
    <row r="80" spans="1:8">
      <c r="A80" s="124"/>
      <c r="B80" s="124"/>
      <c r="C80" s="124" t="s">
        <v>924</v>
      </c>
      <c r="D80" s="125">
        <f>SUM(D64:D79)</f>
        <v>1282</v>
      </c>
      <c r="E80" s="125">
        <f>SUM(E64:E79)</f>
        <v>327</v>
      </c>
      <c r="F80" s="125">
        <f>SUM(F64:F79)</f>
        <v>327</v>
      </c>
      <c r="G80" s="125">
        <f>SUM(G77:G79)</f>
        <v>0</v>
      </c>
      <c r="H80" s="125">
        <f>SUM(H77:H79)</f>
        <v>0</v>
      </c>
    </row>
    <row r="81" spans="1:10">
      <c r="A81" s="121">
        <v>14</v>
      </c>
      <c r="B81" s="121" t="s">
        <v>793</v>
      </c>
      <c r="C81" s="121"/>
      <c r="D81" s="122"/>
      <c r="E81" s="122"/>
      <c r="F81" s="122"/>
      <c r="G81" s="122"/>
      <c r="H81" s="122"/>
    </row>
    <row r="82" spans="1:10">
      <c r="A82" s="121" t="s">
        <v>706</v>
      </c>
      <c r="B82" s="121"/>
      <c r="C82" s="121" t="s">
        <v>361</v>
      </c>
      <c r="D82" s="122">
        <v>9</v>
      </c>
      <c r="E82" s="122">
        <v>9</v>
      </c>
      <c r="F82" s="122">
        <v>9</v>
      </c>
      <c r="G82" s="122"/>
      <c r="H82" s="122"/>
    </row>
    <row r="83" spans="1:10">
      <c r="A83" s="121" t="s">
        <v>710</v>
      </c>
      <c r="B83" s="121"/>
      <c r="C83" s="121" t="s">
        <v>795</v>
      </c>
      <c r="D83" s="122">
        <v>50</v>
      </c>
      <c r="E83" s="122">
        <v>50</v>
      </c>
      <c r="F83" s="122">
        <v>50</v>
      </c>
      <c r="G83" s="122">
        <f>40</f>
        <v>40</v>
      </c>
      <c r="H83" s="122">
        <f>F83-G83</f>
        <v>10</v>
      </c>
    </row>
    <row r="84" spans="1:10">
      <c r="A84" s="124"/>
      <c r="B84" s="124"/>
      <c r="C84" s="124" t="s">
        <v>924</v>
      </c>
      <c r="D84" s="125">
        <f>SUM(D81:D83)</f>
        <v>59</v>
      </c>
      <c r="E84" s="125">
        <f>SUM(E81:E83)</f>
        <v>59</v>
      </c>
      <c r="F84" s="125">
        <f>SUM(F81:F83)</f>
        <v>59</v>
      </c>
      <c r="G84" s="125">
        <f>SUM(G81:G83)</f>
        <v>40</v>
      </c>
      <c r="H84" s="125">
        <f>SUM(H81:H83)</f>
        <v>10</v>
      </c>
    </row>
    <row r="85" spans="1:10">
      <c r="A85" s="121">
        <v>15</v>
      </c>
      <c r="B85" s="121" t="s">
        <v>794</v>
      </c>
      <c r="C85" s="121"/>
      <c r="D85" s="122"/>
      <c r="E85" s="122"/>
      <c r="F85" s="122"/>
      <c r="G85" s="122"/>
      <c r="H85" s="122"/>
    </row>
    <row r="86" spans="1:10">
      <c r="A86" s="121" t="s">
        <v>706</v>
      </c>
      <c r="B86" s="121"/>
      <c r="C86" s="121" t="s">
        <v>795</v>
      </c>
      <c r="D86" s="122">
        <v>50</v>
      </c>
      <c r="E86" s="122">
        <v>50</v>
      </c>
      <c r="F86" s="122">
        <v>50</v>
      </c>
      <c r="G86" s="122">
        <f>50</f>
        <v>50</v>
      </c>
      <c r="H86" s="122">
        <v>0</v>
      </c>
    </row>
    <row r="87" spans="1:10">
      <c r="A87" s="121" t="s">
        <v>709</v>
      </c>
      <c r="B87" s="121"/>
      <c r="C87" s="121" t="s">
        <v>708</v>
      </c>
      <c r="D87" s="122">
        <v>9</v>
      </c>
      <c r="E87" s="122">
        <v>9</v>
      </c>
      <c r="F87" s="122">
        <v>9</v>
      </c>
      <c r="G87" s="122">
        <f>9</f>
        <v>9</v>
      </c>
      <c r="H87" s="122">
        <v>0</v>
      </c>
    </row>
    <row r="88" spans="1:10">
      <c r="A88" s="124"/>
      <c r="B88" s="124"/>
      <c r="C88" s="124" t="s">
        <v>924</v>
      </c>
      <c r="D88" s="125">
        <f>SUM(D86:D87)</f>
        <v>59</v>
      </c>
      <c r="E88" s="125">
        <f>SUM(E86:E87)</f>
        <v>59</v>
      </c>
      <c r="F88" s="125">
        <f>SUM(F86:F87)</f>
        <v>59</v>
      </c>
      <c r="G88" s="125">
        <f>SUM(G86:G86)</f>
        <v>50</v>
      </c>
      <c r="H88" s="125">
        <f>SUM(H86:H86)</f>
        <v>0</v>
      </c>
    </row>
    <row r="89" spans="1:10">
      <c r="A89" s="121">
        <v>16</v>
      </c>
      <c r="B89" s="121" t="s">
        <v>796</v>
      </c>
      <c r="C89" s="121"/>
      <c r="D89" s="122"/>
      <c r="E89" s="122"/>
      <c r="F89" s="122"/>
      <c r="G89" s="122"/>
      <c r="H89" s="122"/>
    </row>
    <row r="90" spans="1:10">
      <c r="A90" s="121" t="s">
        <v>706</v>
      </c>
      <c r="B90" s="121"/>
      <c r="C90" s="121" t="s">
        <v>684</v>
      </c>
      <c r="D90" s="122">
        <v>2000</v>
      </c>
      <c r="E90" s="123">
        <v>2000</v>
      </c>
      <c r="F90" s="123">
        <v>2000</v>
      </c>
      <c r="G90" s="122"/>
      <c r="H90" s="122"/>
    </row>
    <row r="91" spans="1:10">
      <c r="A91" s="124"/>
      <c r="B91" s="124"/>
      <c r="C91" s="124" t="s">
        <v>924</v>
      </c>
      <c r="D91" s="125">
        <f>SUM(D89:D90)</f>
        <v>2000</v>
      </c>
      <c r="E91" s="125">
        <f>SUM(E89:E90)</f>
        <v>2000</v>
      </c>
      <c r="F91" s="125">
        <f>SUM(F89:F90)</f>
        <v>2000</v>
      </c>
      <c r="G91" s="125">
        <f>SUM(G89:G90)</f>
        <v>0</v>
      </c>
      <c r="H91" s="125">
        <f>SUM(H89:H90)</f>
        <v>0</v>
      </c>
    </row>
    <row r="92" spans="1:10">
      <c r="A92" s="121">
        <v>17</v>
      </c>
      <c r="B92" s="121" t="s">
        <v>797</v>
      </c>
      <c r="C92" s="121"/>
      <c r="D92" s="122"/>
      <c r="E92" s="122"/>
      <c r="F92" s="122"/>
      <c r="G92" s="122"/>
      <c r="H92" s="122"/>
    </row>
    <row r="93" spans="1:10">
      <c r="A93" s="121" t="s">
        <v>706</v>
      </c>
      <c r="B93" s="121"/>
      <c r="C93" s="121" t="s">
        <v>798</v>
      </c>
      <c r="D93" s="122">
        <v>1950</v>
      </c>
      <c r="E93" s="122">
        <f>650*2</f>
        <v>1300</v>
      </c>
      <c r="F93" s="122">
        <f>650*2</f>
        <v>1300</v>
      </c>
      <c r="G93" s="122">
        <f>412+412+412+412</f>
        <v>1648</v>
      </c>
      <c r="H93" s="122">
        <f>F93-G93</f>
        <v>-348</v>
      </c>
      <c r="J93">
        <f>412+412</f>
        <v>824</v>
      </c>
    </row>
    <row r="94" spans="1:10">
      <c r="A94" s="121" t="s">
        <v>709</v>
      </c>
      <c r="B94" s="121"/>
      <c r="C94" s="121" t="s">
        <v>799</v>
      </c>
      <c r="D94" s="122">
        <v>1950</v>
      </c>
      <c r="E94" s="122">
        <v>1950</v>
      </c>
      <c r="F94" s="122">
        <v>1950</v>
      </c>
      <c r="G94" s="122">
        <f>412+523+523</f>
        <v>1458</v>
      </c>
      <c r="H94" s="122">
        <f>F94-G94</f>
        <v>492</v>
      </c>
    </row>
    <row r="95" spans="1:10">
      <c r="A95" s="121" t="s">
        <v>710</v>
      </c>
      <c r="B95" s="121"/>
      <c r="C95" s="121" t="s">
        <v>800</v>
      </c>
      <c r="D95" s="122">
        <v>650</v>
      </c>
      <c r="E95" s="122">
        <v>650</v>
      </c>
      <c r="F95" s="122">
        <v>650</v>
      </c>
      <c r="G95" s="122"/>
      <c r="H95" s="122"/>
    </row>
    <row r="96" spans="1:10">
      <c r="A96" s="121" t="s">
        <v>712</v>
      </c>
      <c r="B96" s="121"/>
      <c r="C96" s="121" t="s">
        <v>801</v>
      </c>
      <c r="D96" s="122">
        <v>950</v>
      </c>
      <c r="E96" s="122">
        <v>950</v>
      </c>
      <c r="F96" s="122">
        <v>950</v>
      </c>
      <c r="G96" s="122"/>
      <c r="H96" s="122"/>
    </row>
    <row r="97" spans="1:8">
      <c r="A97" s="121" t="s">
        <v>713</v>
      </c>
      <c r="B97" s="121"/>
      <c r="C97" s="121" t="s">
        <v>802</v>
      </c>
      <c r="D97" s="122">
        <v>1950</v>
      </c>
      <c r="E97" s="122">
        <v>1950</v>
      </c>
      <c r="F97" s="122">
        <v>1950</v>
      </c>
      <c r="G97" s="122"/>
      <c r="H97" s="122"/>
    </row>
    <row r="98" spans="1:8">
      <c r="A98" s="124"/>
      <c r="B98" s="124"/>
      <c r="C98" s="124" t="s">
        <v>924</v>
      </c>
      <c r="D98" s="125">
        <f>SUM(D92:D97)</f>
        <v>7450</v>
      </c>
      <c r="E98" s="125">
        <f>SUM(E92:E97)</f>
        <v>6800</v>
      </c>
      <c r="F98" s="125">
        <f>SUM(F92:F97)</f>
        <v>6800</v>
      </c>
      <c r="G98" s="125">
        <f>SUM(G92:G95)</f>
        <v>3106</v>
      </c>
      <c r="H98" s="125">
        <f>SUM(H92:H95)</f>
        <v>144</v>
      </c>
    </row>
    <row r="99" spans="1:8">
      <c r="A99" s="121">
        <v>18</v>
      </c>
      <c r="B99" s="121" t="s">
        <v>803</v>
      </c>
      <c r="C99" s="121"/>
      <c r="D99" s="122"/>
      <c r="E99" s="122"/>
      <c r="F99" s="122"/>
      <c r="G99" s="122"/>
      <c r="H99" s="122"/>
    </row>
    <row r="100" spans="1:8">
      <c r="A100" s="121" t="s">
        <v>706</v>
      </c>
      <c r="B100" s="121"/>
      <c r="C100" s="121" t="s">
        <v>804</v>
      </c>
      <c r="D100" s="122">
        <v>70</v>
      </c>
      <c r="E100" s="122">
        <v>70</v>
      </c>
      <c r="F100" s="122">
        <v>70</v>
      </c>
      <c r="G100" s="122"/>
      <c r="H100" s="122"/>
    </row>
    <row r="101" spans="1:8">
      <c r="A101" s="121" t="s">
        <v>709</v>
      </c>
      <c r="B101" s="121"/>
      <c r="C101" s="121" t="s">
        <v>805</v>
      </c>
      <c r="D101" s="122">
        <v>100</v>
      </c>
      <c r="E101" s="122">
        <v>100</v>
      </c>
      <c r="F101" s="122">
        <v>100</v>
      </c>
      <c r="G101" s="122">
        <f>85.02</f>
        <v>85.02</v>
      </c>
      <c r="H101" s="122"/>
    </row>
    <row r="102" spans="1:8">
      <c r="A102" s="121" t="s">
        <v>710</v>
      </c>
      <c r="B102" s="121"/>
      <c r="C102" s="121" t="s">
        <v>806</v>
      </c>
      <c r="D102" s="122">
        <v>10</v>
      </c>
      <c r="E102" s="122">
        <v>10</v>
      </c>
      <c r="F102" s="122">
        <v>10</v>
      </c>
      <c r="G102" s="122"/>
      <c r="H102" s="122"/>
    </row>
    <row r="103" spans="1:8">
      <c r="A103" s="121" t="s">
        <v>712</v>
      </c>
      <c r="B103" s="121"/>
      <c r="C103" s="121" t="s">
        <v>807</v>
      </c>
      <c r="D103" s="122">
        <v>20</v>
      </c>
      <c r="E103" s="122">
        <v>20</v>
      </c>
      <c r="F103" s="122">
        <v>20</v>
      </c>
      <c r="G103" s="122"/>
      <c r="H103" s="122"/>
    </row>
    <row r="104" spans="1:8">
      <c r="A104" s="121" t="s">
        <v>713</v>
      </c>
      <c r="B104" s="121"/>
      <c r="C104" s="121" t="s">
        <v>808</v>
      </c>
      <c r="D104" s="122">
        <v>345</v>
      </c>
      <c r="E104" s="122">
        <v>345</v>
      </c>
      <c r="F104" s="122">
        <v>345</v>
      </c>
      <c r="G104" s="122">
        <f>345</f>
        <v>345</v>
      </c>
      <c r="H104" s="122"/>
    </row>
    <row r="105" spans="1:8">
      <c r="A105" s="121" t="s">
        <v>714</v>
      </c>
      <c r="B105" s="121"/>
      <c r="C105" s="121" t="s">
        <v>809</v>
      </c>
      <c r="D105" s="122">
        <v>320</v>
      </c>
      <c r="E105" s="122">
        <v>320</v>
      </c>
      <c r="F105" s="122">
        <v>320</v>
      </c>
      <c r="G105" s="122">
        <f>105.54</f>
        <v>105.54</v>
      </c>
      <c r="H105" s="122">
        <f>F105-G105</f>
        <v>214.45999999999998</v>
      </c>
    </row>
    <row r="106" spans="1:8">
      <c r="A106" s="121" t="s">
        <v>715</v>
      </c>
      <c r="B106" s="121"/>
      <c r="C106" s="121" t="s">
        <v>810</v>
      </c>
      <c r="D106" s="122">
        <v>450</v>
      </c>
      <c r="E106" s="122">
        <v>450</v>
      </c>
      <c r="F106" s="122">
        <v>450</v>
      </c>
      <c r="G106" s="122">
        <f>200.44</f>
        <v>200.44</v>
      </c>
      <c r="H106" s="122"/>
    </row>
    <row r="107" spans="1:8">
      <c r="A107" s="121" t="s">
        <v>716</v>
      </c>
      <c r="B107" s="121"/>
      <c r="C107" s="121" t="s">
        <v>811</v>
      </c>
      <c r="D107" s="122">
        <v>930</v>
      </c>
      <c r="E107" s="122">
        <v>930</v>
      </c>
      <c r="F107" s="122">
        <v>930</v>
      </c>
      <c r="G107" s="122">
        <f>784.72</f>
        <v>784.72</v>
      </c>
      <c r="H107" s="122"/>
    </row>
    <row r="108" spans="1:8">
      <c r="A108" s="121" t="s">
        <v>911</v>
      </c>
      <c r="B108" s="121"/>
      <c r="C108" s="121" t="s">
        <v>812</v>
      </c>
      <c r="D108" s="122">
        <v>9</v>
      </c>
      <c r="E108" s="122">
        <v>9</v>
      </c>
      <c r="F108" s="122">
        <v>9</v>
      </c>
      <c r="G108" s="122"/>
      <c r="H108" s="122"/>
    </row>
    <row r="109" spans="1:8">
      <c r="A109" s="121" t="s">
        <v>501</v>
      </c>
      <c r="B109" s="121"/>
      <c r="C109" s="121" t="s">
        <v>866</v>
      </c>
      <c r="D109" s="122">
        <v>18</v>
      </c>
      <c r="E109" s="122">
        <v>18</v>
      </c>
      <c r="F109" s="122">
        <v>18</v>
      </c>
      <c r="G109" s="122"/>
      <c r="H109" s="122"/>
    </row>
    <row r="110" spans="1:8">
      <c r="A110" s="121" t="s">
        <v>857</v>
      </c>
      <c r="B110" s="121"/>
      <c r="C110" s="121" t="s">
        <v>813</v>
      </c>
      <c r="D110" s="122">
        <v>50</v>
      </c>
      <c r="E110" s="122">
        <v>50</v>
      </c>
      <c r="F110" s="122">
        <v>50</v>
      </c>
      <c r="G110" s="122"/>
      <c r="H110" s="122"/>
    </row>
    <row r="111" spans="1:8">
      <c r="A111" s="121" t="s">
        <v>858</v>
      </c>
      <c r="B111" s="121"/>
      <c r="C111" s="121" t="s">
        <v>814</v>
      </c>
      <c r="D111" s="122">
        <v>500</v>
      </c>
      <c r="E111" s="122">
        <v>500</v>
      </c>
      <c r="F111" s="122">
        <v>500</v>
      </c>
      <c r="G111" s="122">
        <f>7.98</f>
        <v>7.98</v>
      </c>
      <c r="H111" s="122"/>
    </row>
    <row r="112" spans="1:8">
      <c r="A112" s="121" t="s">
        <v>859</v>
      </c>
      <c r="B112" s="121"/>
      <c r="C112" s="121" t="s">
        <v>815</v>
      </c>
      <c r="D112" s="122">
        <v>1500</v>
      </c>
      <c r="E112" s="122">
        <v>1500</v>
      </c>
      <c r="F112" s="122">
        <v>1500</v>
      </c>
      <c r="G112" s="122">
        <f>396.96</f>
        <v>396.96</v>
      </c>
      <c r="H112" s="122">
        <f>F112-G112</f>
        <v>1103.04</v>
      </c>
    </row>
    <row r="113" spans="1:8">
      <c r="A113" s="124"/>
      <c r="B113" s="124"/>
      <c r="C113" s="124" t="s">
        <v>924</v>
      </c>
      <c r="D113" s="125">
        <f>SUM(D100:D112)</f>
        <v>4322</v>
      </c>
      <c r="E113" s="125">
        <f>SUM(E100:E112)</f>
        <v>4322</v>
      </c>
      <c r="F113" s="125">
        <f>SUM(F100:F112)</f>
        <v>4322</v>
      </c>
      <c r="G113" s="125">
        <f>SUM(G100:G112)</f>
        <v>1925.66</v>
      </c>
      <c r="H113" s="125">
        <f>SUM(H100:H112)</f>
        <v>1317.5</v>
      </c>
    </row>
    <row r="114" spans="1:8">
      <c r="A114" s="121">
        <v>19</v>
      </c>
      <c r="B114" s="121" t="s">
        <v>816</v>
      </c>
      <c r="C114" s="121"/>
      <c r="D114" s="122"/>
      <c r="E114" s="122"/>
      <c r="F114" s="122"/>
      <c r="G114" s="122"/>
      <c r="H114" s="122"/>
    </row>
    <row r="115" spans="1:8">
      <c r="A115" s="121" t="s">
        <v>706</v>
      </c>
      <c r="B115" s="121"/>
      <c r="C115" s="121" t="s">
        <v>867</v>
      </c>
      <c r="D115" s="122">
        <v>50</v>
      </c>
      <c r="E115" s="122">
        <f>50+50</f>
        <v>100</v>
      </c>
      <c r="F115" s="122">
        <f>50+50</f>
        <v>100</v>
      </c>
      <c r="G115" s="122"/>
      <c r="H115" s="122"/>
    </row>
    <row r="116" spans="1:8">
      <c r="A116" s="124"/>
      <c r="B116" s="124"/>
      <c r="C116" s="124" t="s">
        <v>924</v>
      </c>
      <c r="D116" s="125">
        <f>SUM(D114:D115)</f>
        <v>50</v>
      </c>
      <c r="E116" s="125">
        <f>SUM(E114:E115)</f>
        <v>100</v>
      </c>
      <c r="F116" s="125">
        <v>100</v>
      </c>
      <c r="G116" s="125">
        <f>SUM(G114:G114)</f>
        <v>0</v>
      </c>
      <c r="H116" s="125">
        <f>SUM(H114:H114)</f>
        <v>0</v>
      </c>
    </row>
    <row r="117" spans="1:8" s="113" customFormat="1">
      <c r="A117" s="121">
        <v>20</v>
      </c>
      <c r="B117" s="121" t="s">
        <v>868</v>
      </c>
      <c r="C117" s="121"/>
      <c r="D117" s="122"/>
      <c r="E117" s="122"/>
      <c r="F117" s="122"/>
      <c r="G117" s="122"/>
      <c r="H117" s="122"/>
    </row>
    <row r="118" spans="1:8">
      <c r="A118" s="121"/>
      <c r="B118" s="121"/>
      <c r="C118" s="121" t="s">
        <v>795</v>
      </c>
      <c r="D118" s="122">
        <v>50</v>
      </c>
      <c r="E118" s="123">
        <v>50</v>
      </c>
      <c r="F118" s="123">
        <v>50</v>
      </c>
      <c r="G118" s="122">
        <f>50</f>
        <v>50</v>
      </c>
      <c r="H118" s="122"/>
    </row>
    <row r="119" spans="1:8">
      <c r="A119" s="121"/>
      <c r="B119" s="121"/>
      <c r="C119" s="121" t="s">
        <v>361</v>
      </c>
      <c r="D119" s="122">
        <v>9</v>
      </c>
      <c r="E119" s="123">
        <v>9</v>
      </c>
      <c r="F119" s="123">
        <v>9</v>
      </c>
      <c r="G119" s="122"/>
      <c r="H119" s="122"/>
    </row>
    <row r="120" spans="1:8">
      <c r="A120" s="121"/>
      <c r="B120" s="121"/>
      <c r="C120" s="121" t="s">
        <v>871</v>
      </c>
      <c r="D120" s="122">
        <v>278</v>
      </c>
      <c r="E120" s="122">
        <v>278</v>
      </c>
      <c r="F120" s="122">
        <f>278+45.631</f>
        <v>323.63099999999997</v>
      </c>
      <c r="G120" s="122">
        <f>278+45.631</f>
        <v>323.63099999999997</v>
      </c>
      <c r="H120" s="122">
        <f>F120-G120</f>
        <v>0</v>
      </c>
    </row>
    <row r="121" spans="1:8">
      <c r="A121" s="121"/>
      <c r="B121" s="121"/>
      <c r="C121" s="121" t="s">
        <v>872</v>
      </c>
      <c r="D121" s="122">
        <v>100</v>
      </c>
      <c r="E121" s="123">
        <v>100</v>
      </c>
      <c r="F121" s="123">
        <f>100-45.631</f>
        <v>54.369</v>
      </c>
      <c r="G121" s="122"/>
      <c r="H121" s="122"/>
    </row>
    <row r="122" spans="1:8">
      <c r="A122" s="121"/>
      <c r="B122" s="121"/>
      <c r="C122" s="121" t="s">
        <v>873</v>
      </c>
      <c r="D122" s="122">
        <v>600</v>
      </c>
      <c r="E122" s="123">
        <v>600</v>
      </c>
      <c r="F122" s="123">
        <v>600</v>
      </c>
      <c r="G122" s="122"/>
      <c r="H122" s="122"/>
    </row>
    <row r="123" spans="1:8">
      <c r="A123" s="121"/>
      <c r="B123" s="121"/>
      <c r="C123" s="121" t="s">
        <v>229</v>
      </c>
      <c r="D123" s="122">
        <v>100</v>
      </c>
      <c r="E123" s="122">
        <v>100</v>
      </c>
      <c r="F123" s="122">
        <v>100</v>
      </c>
      <c r="G123" s="122"/>
      <c r="H123" s="122"/>
    </row>
    <row r="124" spans="1:8">
      <c r="A124" s="121"/>
      <c r="B124" s="121"/>
      <c r="C124" s="121" t="s">
        <v>874</v>
      </c>
      <c r="D124" s="122">
        <v>300</v>
      </c>
      <c r="E124" s="123">
        <v>300</v>
      </c>
      <c r="F124" s="123">
        <v>300</v>
      </c>
      <c r="G124" s="122"/>
      <c r="H124" s="122"/>
    </row>
    <row r="125" spans="1:8">
      <c r="A125" s="121"/>
      <c r="B125" s="121"/>
      <c r="C125" s="121" t="s">
        <v>875</v>
      </c>
      <c r="D125" s="122">
        <v>65</v>
      </c>
      <c r="E125" s="123">
        <v>65</v>
      </c>
      <c r="F125" s="123">
        <v>65</v>
      </c>
      <c r="G125" s="122"/>
      <c r="H125" s="122"/>
    </row>
    <row r="126" spans="1:8">
      <c r="A126" s="124"/>
      <c r="B126" s="124"/>
      <c r="C126" s="124" t="s">
        <v>924</v>
      </c>
      <c r="D126" s="125">
        <f>SUM(D117:D125)</f>
        <v>1502</v>
      </c>
      <c r="E126" s="125">
        <f>SUM(E118:E125)</f>
        <v>1502</v>
      </c>
      <c r="F126" s="125">
        <f>SUM(F117:F125)</f>
        <v>1502</v>
      </c>
      <c r="G126" s="125">
        <f>SUM(G117:G118)</f>
        <v>50</v>
      </c>
      <c r="H126" s="125">
        <f>SUM(H117:H118)</f>
        <v>0</v>
      </c>
    </row>
    <row r="127" spans="1:8" s="133" customFormat="1">
      <c r="A127" s="121">
        <v>21</v>
      </c>
      <c r="B127" s="121" t="s">
        <v>869</v>
      </c>
      <c r="C127" s="121" t="s">
        <v>870</v>
      </c>
      <c r="D127" s="122">
        <v>2145</v>
      </c>
      <c r="E127" s="122">
        <v>2145</v>
      </c>
      <c r="F127" s="122">
        <v>2145</v>
      </c>
      <c r="G127" s="122"/>
      <c r="H127" s="122"/>
    </row>
    <row r="128" spans="1:8" s="133" customFormat="1">
      <c r="A128" s="121"/>
      <c r="B128" s="121"/>
      <c r="C128" s="121" t="s">
        <v>361</v>
      </c>
      <c r="D128" s="122">
        <v>9</v>
      </c>
      <c r="E128" s="123">
        <v>9</v>
      </c>
      <c r="F128" s="123">
        <v>9</v>
      </c>
      <c r="G128" s="122"/>
      <c r="H128" s="122"/>
    </row>
    <row r="129" spans="1:8">
      <c r="A129" s="124"/>
      <c r="B129" s="124"/>
      <c r="C129" s="124"/>
      <c r="D129" s="125">
        <f>SUM(D127:D128)</f>
        <v>2154</v>
      </c>
      <c r="E129" s="125">
        <f>SUM(E127:E128)</f>
        <v>2154</v>
      </c>
      <c r="F129" s="125">
        <f>SUM(F127:F128)</f>
        <v>2154</v>
      </c>
      <c r="G129" s="125">
        <f>SUM(G127:G128)</f>
        <v>0</v>
      </c>
      <c r="H129" s="125">
        <f>SUM(H127:H128)</f>
        <v>0</v>
      </c>
    </row>
    <row r="130" spans="1:8">
      <c r="A130" s="121">
        <v>22</v>
      </c>
      <c r="B130" s="121" t="s">
        <v>853</v>
      </c>
      <c r="C130" s="121"/>
      <c r="D130" s="122"/>
      <c r="E130" s="122"/>
      <c r="F130" s="122"/>
      <c r="G130" s="122"/>
      <c r="H130" s="122"/>
    </row>
    <row r="131" spans="1:8">
      <c r="A131" s="121" t="s">
        <v>706</v>
      </c>
      <c r="B131" s="121"/>
      <c r="C131" s="121" t="s">
        <v>854</v>
      </c>
      <c r="D131" s="122">
        <v>144.99</v>
      </c>
      <c r="E131" s="123"/>
      <c r="F131" s="123"/>
      <c r="G131" s="122"/>
      <c r="H131" s="122"/>
    </row>
    <row r="132" spans="1:8">
      <c r="A132" s="121" t="s">
        <v>709</v>
      </c>
      <c r="B132" s="121"/>
      <c r="C132" s="121" t="s">
        <v>855</v>
      </c>
      <c r="D132" s="122">
        <v>320</v>
      </c>
      <c r="E132" s="123"/>
      <c r="F132" s="123"/>
      <c r="G132" s="122"/>
      <c r="H132" s="122"/>
    </row>
    <row r="133" spans="1:8">
      <c r="A133" s="124"/>
      <c r="B133" s="124"/>
      <c r="C133" s="124" t="s">
        <v>924</v>
      </c>
      <c r="D133" s="125">
        <f>SUM(D131:D132)</f>
        <v>464.99</v>
      </c>
      <c r="E133" s="125">
        <f>SUM(E131:E132)</f>
        <v>0</v>
      </c>
      <c r="F133" s="125">
        <f>SUM(F131:F132)</f>
        <v>0</v>
      </c>
      <c r="G133" s="125">
        <f>SUM(G131:G132)</f>
        <v>0</v>
      </c>
      <c r="H133" s="125">
        <f>SUM(H131:H132)</f>
        <v>0</v>
      </c>
    </row>
    <row r="134" spans="1:8">
      <c r="A134" s="130" t="s">
        <v>927</v>
      </c>
      <c r="B134" s="131"/>
      <c r="C134" s="131"/>
      <c r="D134" s="132">
        <f>SUM(D126,D129,D133,D116,D113,D98,D91,D88,D84,D80,D63,D57,D52,D48,D45,D39,D36,D32,D28,D21,D17,D12,D129,D126)</f>
        <v>36624.299999999996</v>
      </c>
      <c r="E134" s="132">
        <f>SUM(E129,E126,E133,E116,E113,E98,E91,E88,E84,E80,E63,E57,E52,E48,E45,E39,E36,E32,E28,E21,E17,E12,E129,E126)</f>
        <v>33074.149999999994</v>
      </c>
      <c r="F134" s="132">
        <f>SUM(F126,F129,F133,F116,F113,F98,F91,F88,F84,F80,F63,F57,F52,F48,F45,F39,F36,F32,F28,F21,F17,F12,F129,F126)</f>
        <v>33074.149999999994</v>
      </c>
      <c r="G134" s="132">
        <f>SUM(G133,G116,G113,G98,G91,G88,G84,G80,G63,G57,G52,G48,G45,G39,G36,G32,G28,G21,G17,G12,G129,G126)</f>
        <v>8290.2800000040006</v>
      </c>
      <c r="H134" s="132">
        <f>SUM(H133,H116,H113,H98,H91,H88,H84,H80,H63,H57,H52,H48,H45,H39,H36,H32,H28,H21,H17,H12,H129,H126)</f>
        <v>1677.8799999959999</v>
      </c>
    </row>
    <row r="135" spans="1:8" ht="12" customHeight="1">
      <c r="A135" s="145" t="s">
        <v>879</v>
      </c>
      <c r="B135" s="146"/>
      <c r="C135" s="146"/>
      <c r="D135" s="147"/>
      <c r="E135" s="147"/>
      <c r="F135" s="148"/>
      <c r="G135" s="148"/>
      <c r="H135" s="148"/>
    </row>
    <row r="136" spans="1:8" ht="12" customHeight="1">
      <c r="A136" s="117"/>
      <c r="B136" s="118" t="s">
        <v>923</v>
      </c>
      <c r="C136" s="118" t="s">
        <v>699</v>
      </c>
      <c r="D136" s="140" t="s">
        <v>700</v>
      </c>
      <c r="E136" s="140" t="s">
        <v>701</v>
      </c>
      <c r="F136" s="141" t="s">
        <v>702</v>
      </c>
      <c r="G136" s="141" t="s">
        <v>703</v>
      </c>
      <c r="H136" s="141" t="s">
        <v>704</v>
      </c>
    </row>
    <row r="137" spans="1:8" ht="12" customHeight="1">
      <c r="A137" s="121">
        <v>1</v>
      </c>
      <c r="B137" s="121" t="s">
        <v>880</v>
      </c>
      <c r="C137" s="121"/>
      <c r="D137" s="142"/>
      <c r="E137" s="142"/>
      <c r="F137" s="142"/>
      <c r="G137" s="142"/>
      <c r="H137" s="142"/>
    </row>
    <row r="138" spans="1:8">
      <c r="A138" s="121" t="s">
        <v>706</v>
      </c>
      <c r="B138" s="121"/>
      <c r="C138" s="121" t="s">
        <v>678</v>
      </c>
      <c r="D138" s="142">
        <v>171.92</v>
      </c>
      <c r="E138" s="142">
        <v>171.92</v>
      </c>
      <c r="F138" s="142">
        <v>171.92</v>
      </c>
      <c r="G138" s="142"/>
      <c r="H138" s="142"/>
    </row>
    <row r="139" spans="1:8">
      <c r="A139" s="124"/>
      <c r="B139" s="124"/>
      <c r="C139" s="124" t="s">
        <v>924</v>
      </c>
      <c r="D139" s="144">
        <f>SUM(D137:D138)</f>
        <v>171.92</v>
      </c>
      <c r="E139" s="144">
        <f>SUM(E137:E138)</f>
        <v>171.92</v>
      </c>
      <c r="F139" s="144">
        <f>SUM(F137:F138)</f>
        <v>171.92</v>
      </c>
      <c r="G139" s="144">
        <f>SUM(G137:G138)</f>
        <v>0</v>
      </c>
      <c r="H139" s="144">
        <f>SUM(H137:H138)</f>
        <v>0</v>
      </c>
    </row>
    <row r="140" spans="1:8" ht="12" customHeight="1">
      <c r="A140" s="121">
        <v>2</v>
      </c>
      <c r="B140" s="121" t="s">
        <v>881</v>
      </c>
      <c r="C140" s="121"/>
      <c r="D140" s="142"/>
      <c r="E140" s="142"/>
      <c r="F140" s="142"/>
      <c r="G140" s="142"/>
      <c r="H140" s="142"/>
    </row>
    <row r="141" spans="1:8">
      <c r="A141" s="121" t="s">
        <v>706</v>
      </c>
      <c r="B141" s="121"/>
      <c r="C141" s="121" t="s">
        <v>882</v>
      </c>
      <c r="D141" s="142">
        <v>500</v>
      </c>
      <c r="E141" s="142">
        <v>500</v>
      </c>
      <c r="F141" s="142">
        <v>500</v>
      </c>
      <c r="G141" s="142">
        <f>481.8</f>
        <v>481.8</v>
      </c>
      <c r="H141" s="142">
        <f>F141-G141</f>
        <v>18.199999999999989</v>
      </c>
    </row>
    <row r="142" spans="1:8">
      <c r="A142" s="121" t="s">
        <v>709</v>
      </c>
      <c r="B142" s="121"/>
      <c r="C142" s="121" t="s">
        <v>883</v>
      </c>
      <c r="D142" s="142">
        <v>50</v>
      </c>
      <c r="E142" s="142">
        <v>50</v>
      </c>
      <c r="F142" s="142">
        <v>50</v>
      </c>
      <c r="G142" s="142"/>
      <c r="H142" s="142"/>
    </row>
    <row r="143" spans="1:8">
      <c r="A143" s="124"/>
      <c r="B143" s="124"/>
      <c r="C143" s="124" t="s">
        <v>924</v>
      </c>
      <c r="D143" s="144">
        <f>SUM(D140:D142)</f>
        <v>550</v>
      </c>
      <c r="E143" s="144">
        <f>SUM(E140:E142)</f>
        <v>550</v>
      </c>
      <c r="F143" s="144">
        <f>SUM(F140:F142)</f>
        <v>550</v>
      </c>
      <c r="G143" s="144">
        <f>SUM(G140:G142)</f>
        <v>481.8</v>
      </c>
      <c r="H143" s="144">
        <f>SUM(H140:H142)</f>
        <v>18.199999999999989</v>
      </c>
    </row>
    <row r="144" spans="1:8" ht="12" customHeight="1">
      <c r="A144" s="121">
        <v>3</v>
      </c>
      <c r="B144" s="121" t="s">
        <v>884</v>
      </c>
      <c r="C144" s="121"/>
      <c r="D144" s="142"/>
      <c r="E144" s="142"/>
      <c r="F144" s="142"/>
      <c r="G144" s="142"/>
      <c r="H144" s="142"/>
    </row>
    <row r="145" spans="1:8" ht="12" customHeight="1">
      <c r="A145" s="121" t="s">
        <v>706</v>
      </c>
      <c r="B145" s="121"/>
      <c r="C145" s="121" t="s">
        <v>770</v>
      </c>
      <c r="D145" s="142">
        <v>50</v>
      </c>
      <c r="E145" s="142">
        <v>50</v>
      </c>
      <c r="F145" s="142">
        <v>50</v>
      </c>
      <c r="G145" s="142"/>
      <c r="H145" s="142"/>
    </row>
    <row r="146" spans="1:8">
      <c r="C146" s="152" t="s">
        <v>361</v>
      </c>
      <c r="D146" s="153">
        <v>9</v>
      </c>
      <c r="E146" s="153">
        <v>9</v>
      </c>
      <c r="F146" s="153">
        <v>9</v>
      </c>
      <c r="G146" s="142"/>
      <c r="H146" s="142"/>
    </row>
    <row r="147" spans="1:8">
      <c r="A147" s="124"/>
      <c r="B147" s="124"/>
      <c r="C147" s="124" t="s">
        <v>924</v>
      </c>
      <c r="D147" s="144">
        <f>SUM(D144:D146)</f>
        <v>59</v>
      </c>
      <c r="E147" s="144">
        <f>SUM(E144:E146)</f>
        <v>59</v>
      </c>
      <c r="F147" s="144">
        <f>SUM(F144:F146)</f>
        <v>59</v>
      </c>
      <c r="G147" s="144">
        <f>SUM(G144:G146)</f>
        <v>0</v>
      </c>
      <c r="H147" s="144">
        <f>SUM(H144:H146)</f>
        <v>0</v>
      </c>
    </row>
    <row r="148" spans="1:8" ht="12" customHeight="1">
      <c r="A148" s="121">
        <v>4</v>
      </c>
      <c r="B148" s="121" t="s">
        <v>885</v>
      </c>
      <c r="C148" s="121"/>
      <c r="D148" s="142"/>
      <c r="E148" s="142"/>
      <c r="F148" s="142"/>
      <c r="G148" s="142"/>
      <c r="H148" s="142"/>
    </row>
    <row r="149" spans="1:8">
      <c r="A149" s="121" t="s">
        <v>706</v>
      </c>
      <c r="B149" s="121"/>
      <c r="C149" s="121" t="s">
        <v>886</v>
      </c>
      <c r="D149" s="142">
        <v>20</v>
      </c>
      <c r="E149" s="143" t="s">
        <v>862</v>
      </c>
      <c r="F149" s="143" t="s">
        <v>862</v>
      </c>
      <c r="G149" s="142"/>
      <c r="H149" s="142"/>
    </row>
    <row r="150" spans="1:8">
      <c r="A150" s="121" t="s">
        <v>709</v>
      </c>
      <c r="B150" s="121"/>
      <c r="C150" s="121" t="s">
        <v>887</v>
      </c>
      <c r="D150" s="142">
        <v>60</v>
      </c>
      <c r="E150" s="143" t="s">
        <v>862</v>
      </c>
      <c r="F150" s="143" t="s">
        <v>862</v>
      </c>
      <c r="G150" s="142"/>
      <c r="H150" s="142"/>
    </row>
    <row r="151" spans="1:8">
      <c r="A151" s="121" t="s">
        <v>710</v>
      </c>
      <c r="B151" s="121"/>
      <c r="C151" s="152" t="s">
        <v>908</v>
      </c>
      <c r="D151" s="143">
        <v>18</v>
      </c>
      <c r="E151" s="143">
        <v>18</v>
      </c>
      <c r="F151" s="143">
        <v>18</v>
      </c>
      <c r="G151" s="142">
        <f>7.5</f>
        <v>7.5</v>
      </c>
      <c r="H151" s="142"/>
    </row>
    <row r="152" spans="1:8">
      <c r="A152" s="124"/>
      <c r="B152" s="124"/>
      <c r="C152" s="124" t="s">
        <v>924</v>
      </c>
      <c r="D152" s="144">
        <f>SUM(D148:D151)</f>
        <v>98</v>
      </c>
      <c r="E152" s="144">
        <f>SUM(E148:E151)</f>
        <v>18</v>
      </c>
      <c r="F152" s="144">
        <f>SUM(F148:F151)</f>
        <v>18</v>
      </c>
      <c r="G152" s="144">
        <f>SUM(G148:G151)</f>
        <v>7.5</v>
      </c>
      <c r="H152" s="144">
        <f>SUM(H148:H151)</f>
        <v>0</v>
      </c>
    </row>
    <row r="153" spans="1:8" ht="12" customHeight="1">
      <c r="A153" s="121">
        <v>5</v>
      </c>
      <c r="B153" s="121" t="s">
        <v>566</v>
      </c>
      <c r="C153" s="121"/>
      <c r="D153" s="142"/>
      <c r="E153" s="142"/>
      <c r="F153" s="142"/>
      <c r="G153" s="142"/>
      <c r="H153" s="142"/>
    </row>
    <row r="154" spans="1:8">
      <c r="A154" s="121" t="s">
        <v>706</v>
      </c>
      <c r="B154" s="121"/>
      <c r="C154" s="121" t="s">
        <v>888</v>
      </c>
      <c r="D154" s="142">
        <v>1938</v>
      </c>
      <c r="E154" s="142">
        <v>1938</v>
      </c>
      <c r="F154" s="142">
        <v>0</v>
      </c>
      <c r="G154" s="142"/>
      <c r="H154" s="142"/>
    </row>
    <row r="155" spans="1:8">
      <c r="A155" s="121" t="s">
        <v>709</v>
      </c>
      <c r="B155" s="121"/>
      <c r="C155" s="121" t="s">
        <v>889</v>
      </c>
      <c r="D155" s="142">
        <v>350</v>
      </c>
      <c r="E155" s="142">
        <v>350</v>
      </c>
      <c r="F155" s="142">
        <v>0</v>
      </c>
      <c r="G155" s="142"/>
      <c r="H155" s="142"/>
    </row>
    <row r="156" spans="1:8">
      <c r="A156" s="121" t="s">
        <v>710</v>
      </c>
      <c r="B156" s="121"/>
      <c r="C156" s="121" t="s">
        <v>890</v>
      </c>
      <c r="D156" s="142">
        <v>585</v>
      </c>
      <c r="E156" s="142">
        <v>585</v>
      </c>
      <c r="F156" s="142">
        <v>585</v>
      </c>
      <c r="G156" s="142"/>
      <c r="H156" s="142"/>
    </row>
    <row r="157" spans="1:8">
      <c r="A157" s="124"/>
      <c r="B157" s="124"/>
      <c r="C157" s="124" t="s">
        <v>924</v>
      </c>
      <c r="D157" s="144">
        <f>SUM(D153:D156)</f>
        <v>2873</v>
      </c>
      <c r="E157" s="144">
        <f>SUM(E153:E156)</f>
        <v>2873</v>
      </c>
      <c r="F157" s="144">
        <f>SUM(F153:F156)</f>
        <v>585</v>
      </c>
      <c r="G157" s="144">
        <f>SUM(G153:G156)</f>
        <v>0</v>
      </c>
      <c r="H157" s="144">
        <f>SUM(H153:H156)</f>
        <v>0</v>
      </c>
    </row>
    <row r="158" spans="1:8" ht="12" customHeight="1">
      <c r="A158" s="121">
        <v>6</v>
      </c>
      <c r="B158" s="121" t="s">
        <v>891</v>
      </c>
      <c r="C158" s="121"/>
      <c r="D158" s="142"/>
      <c r="E158" s="142"/>
      <c r="F158" s="142"/>
      <c r="G158" s="142"/>
      <c r="H158" s="142"/>
    </row>
    <row r="159" spans="1:8">
      <c r="A159" s="121" t="s">
        <v>706</v>
      </c>
      <c r="B159" s="121"/>
      <c r="C159" s="121" t="s">
        <v>892</v>
      </c>
      <c r="D159" s="142">
        <v>9</v>
      </c>
      <c r="E159" s="143">
        <v>0</v>
      </c>
      <c r="F159" s="143">
        <v>0</v>
      </c>
      <c r="G159" s="142"/>
      <c r="H159" s="142"/>
    </row>
    <row r="160" spans="1:8">
      <c r="A160" s="124"/>
      <c r="B160" s="124"/>
      <c r="C160" s="124" t="s">
        <v>924</v>
      </c>
      <c r="D160" s="144">
        <f>SUM(D158:D159)</f>
        <v>9</v>
      </c>
      <c r="E160" s="144">
        <f>SUM(E158:E159)</f>
        <v>0</v>
      </c>
      <c r="F160" s="144">
        <f>SUM(F158:F159)</f>
        <v>0</v>
      </c>
      <c r="G160" s="144">
        <f>SUM(G158:G159)</f>
        <v>0</v>
      </c>
      <c r="H160" s="144">
        <f>SUM(H158:H159)</f>
        <v>0</v>
      </c>
    </row>
    <row r="161" spans="1:8" ht="12" customHeight="1">
      <c r="A161" s="121">
        <v>7</v>
      </c>
      <c r="B161" s="121" t="s">
        <v>914</v>
      </c>
      <c r="C161" s="121"/>
      <c r="D161" s="142"/>
      <c r="E161" s="142"/>
      <c r="F161" s="142"/>
      <c r="G161" s="142"/>
      <c r="H161" s="142"/>
    </row>
    <row r="162" spans="1:8">
      <c r="A162" s="121" t="s">
        <v>706</v>
      </c>
      <c r="B162" s="121"/>
      <c r="C162" s="121" t="s">
        <v>893</v>
      </c>
      <c r="D162" s="142">
        <v>200</v>
      </c>
      <c r="E162" s="142">
        <v>0</v>
      </c>
      <c r="F162" s="142">
        <v>0</v>
      </c>
      <c r="G162" s="142"/>
      <c r="H162" s="142"/>
    </row>
    <row r="163" spans="1:8">
      <c r="A163" s="121" t="s">
        <v>709</v>
      </c>
      <c r="B163" s="121"/>
      <c r="C163" s="121" t="s">
        <v>708</v>
      </c>
      <c r="D163" s="142">
        <v>9</v>
      </c>
      <c r="E163" s="142">
        <v>0</v>
      </c>
      <c r="F163" s="142">
        <v>0</v>
      </c>
      <c r="G163" s="142"/>
      <c r="H163" s="142"/>
    </row>
    <row r="164" spans="1:8">
      <c r="A164" s="124"/>
      <c r="B164" s="124"/>
      <c r="C164" s="124" t="s">
        <v>924</v>
      </c>
      <c r="D164" s="144">
        <f>SUM(D161:D163)</f>
        <v>209</v>
      </c>
      <c r="E164" s="144">
        <f>SUM(E161:E163)</f>
        <v>0</v>
      </c>
      <c r="F164" s="144">
        <f>SUM(F161:F163)</f>
        <v>0</v>
      </c>
      <c r="G164" s="144">
        <f>SUM(G161:G163)</f>
        <v>0</v>
      </c>
      <c r="H164" s="144">
        <f>SUM(H161:H163)</f>
        <v>0</v>
      </c>
    </row>
    <row r="165" spans="1:8" ht="12" customHeight="1">
      <c r="A165" s="121">
        <v>8</v>
      </c>
      <c r="B165" s="121" t="s">
        <v>894</v>
      </c>
      <c r="C165" s="121"/>
      <c r="D165" s="142"/>
      <c r="E165" s="142"/>
      <c r="F165" s="142"/>
      <c r="G165" s="142"/>
      <c r="H165" s="142"/>
    </row>
    <row r="166" spans="1:8">
      <c r="A166" s="121" t="s">
        <v>706</v>
      </c>
      <c r="B166" s="121"/>
      <c r="C166" s="121" t="s">
        <v>282</v>
      </c>
      <c r="D166" s="142">
        <v>244</v>
      </c>
      <c r="E166" s="143">
        <v>244</v>
      </c>
      <c r="F166" s="143">
        <v>244</v>
      </c>
      <c r="G166" s="142"/>
      <c r="H166" s="142"/>
    </row>
    <row r="167" spans="1:8">
      <c r="A167" s="121" t="s">
        <v>709</v>
      </c>
      <c r="B167" s="121"/>
      <c r="C167" s="121" t="s">
        <v>895</v>
      </c>
      <c r="D167" s="142">
        <v>500</v>
      </c>
      <c r="E167" s="142">
        <v>500</v>
      </c>
      <c r="F167" s="142">
        <v>500</v>
      </c>
      <c r="G167" s="142"/>
      <c r="H167" s="142"/>
    </row>
    <row r="168" spans="1:8">
      <c r="A168" s="124"/>
      <c r="B168" s="124"/>
      <c r="C168" s="124" t="s">
        <v>924</v>
      </c>
      <c r="D168" s="144">
        <f>SUM(D165:D167)</f>
        <v>744</v>
      </c>
      <c r="E168" s="144">
        <f>SUM(E165:E167)</f>
        <v>744</v>
      </c>
      <c r="F168" s="144">
        <f>SUM(F165:F167)</f>
        <v>744</v>
      </c>
      <c r="G168" s="144">
        <f>SUM(G165:G167)</f>
        <v>0</v>
      </c>
      <c r="H168" s="144">
        <f>SUM(H165:H167)</f>
        <v>0</v>
      </c>
    </row>
    <row r="169" spans="1:8" ht="12" customHeight="1">
      <c r="A169" s="121">
        <v>9</v>
      </c>
      <c r="B169" s="121" t="s">
        <v>896</v>
      </c>
      <c r="C169" s="121"/>
      <c r="D169" s="142"/>
      <c r="E169" s="142"/>
      <c r="F169" s="142"/>
      <c r="G169" s="142"/>
      <c r="H169" s="142"/>
    </row>
    <row r="170" spans="1:8" ht="12" customHeight="1">
      <c r="A170" s="121" t="s">
        <v>706</v>
      </c>
      <c r="B170" s="121"/>
      <c r="C170" s="121" t="s">
        <v>897</v>
      </c>
      <c r="D170" s="142">
        <v>60</v>
      </c>
      <c r="E170" s="142">
        <v>60</v>
      </c>
      <c r="F170" s="142">
        <v>60</v>
      </c>
      <c r="G170" s="142"/>
      <c r="H170" s="142"/>
    </row>
    <row r="171" spans="1:8" ht="12" customHeight="1">
      <c r="A171" s="121" t="s">
        <v>709</v>
      </c>
      <c r="B171" s="121"/>
      <c r="C171" s="121" t="s">
        <v>898</v>
      </c>
      <c r="D171" s="142">
        <v>200</v>
      </c>
      <c r="E171" s="142">
        <v>200</v>
      </c>
      <c r="F171" s="142">
        <v>200</v>
      </c>
      <c r="G171" s="142"/>
      <c r="H171" s="142"/>
    </row>
    <row r="172" spans="1:8" ht="12" customHeight="1">
      <c r="A172" s="121" t="s">
        <v>710</v>
      </c>
      <c r="B172" s="121"/>
      <c r="C172" s="121" t="s">
        <v>899</v>
      </c>
      <c r="D172" s="142">
        <v>250</v>
      </c>
      <c r="E172" s="142">
        <v>250</v>
      </c>
      <c r="F172" s="142">
        <v>250</v>
      </c>
      <c r="G172" s="142"/>
      <c r="H172" s="142"/>
    </row>
    <row r="173" spans="1:8" ht="12" customHeight="1">
      <c r="A173" s="121" t="s">
        <v>712</v>
      </c>
      <c r="B173" s="121"/>
      <c r="C173" s="121" t="s">
        <v>900</v>
      </c>
      <c r="D173" s="142">
        <v>200</v>
      </c>
      <c r="E173" s="143" t="s">
        <v>862</v>
      </c>
      <c r="F173" s="143" t="s">
        <v>862</v>
      </c>
      <c r="G173" s="142"/>
      <c r="H173" s="142"/>
    </row>
    <row r="174" spans="1:8" ht="12" customHeight="1">
      <c r="A174" s="121" t="s">
        <v>713</v>
      </c>
      <c r="B174" s="121"/>
      <c r="C174" s="121" t="s">
        <v>901</v>
      </c>
      <c r="D174" s="142">
        <v>200</v>
      </c>
      <c r="E174" s="143" t="s">
        <v>862</v>
      </c>
      <c r="F174" s="143" t="s">
        <v>862</v>
      </c>
      <c r="G174" s="142"/>
      <c r="H174" s="142"/>
    </row>
    <row r="175" spans="1:8" ht="12" customHeight="1">
      <c r="A175" s="121" t="s">
        <v>714</v>
      </c>
      <c r="B175" s="121"/>
      <c r="C175" s="121" t="s">
        <v>909</v>
      </c>
      <c r="D175" s="142">
        <v>9</v>
      </c>
      <c r="E175" s="142">
        <v>9</v>
      </c>
      <c r="F175" s="142">
        <v>9</v>
      </c>
      <c r="G175" s="142"/>
      <c r="H175" s="142"/>
    </row>
    <row r="176" spans="1:8" ht="12" customHeight="1">
      <c r="A176" s="124"/>
      <c r="B176" s="124"/>
      <c r="C176" s="124" t="s">
        <v>924</v>
      </c>
      <c r="D176" s="144">
        <f>SUM(D169:D175)</f>
        <v>919</v>
      </c>
      <c r="E176" s="144">
        <f>SUM(E169:E175)</f>
        <v>519</v>
      </c>
      <c r="F176" s="144">
        <f>SUM(F169:F175)</f>
        <v>519</v>
      </c>
      <c r="G176" s="144">
        <f>SUM(G169:G174)</f>
        <v>0</v>
      </c>
      <c r="H176" s="144">
        <f>SUM(H169:H174)</f>
        <v>0</v>
      </c>
    </row>
    <row r="177" spans="1:8" ht="12" customHeight="1">
      <c r="A177" s="121">
        <v>10</v>
      </c>
      <c r="B177" s="121" t="s">
        <v>902</v>
      </c>
      <c r="C177" s="121"/>
      <c r="D177" s="142"/>
      <c r="E177" s="142"/>
      <c r="F177" s="142"/>
      <c r="G177" s="142"/>
      <c r="H177" s="142"/>
    </row>
    <row r="178" spans="1:8">
      <c r="A178" s="121" t="s">
        <v>706</v>
      </c>
      <c r="B178" s="121"/>
      <c r="C178" s="121" t="s">
        <v>903</v>
      </c>
      <c r="D178" s="142">
        <v>400</v>
      </c>
      <c r="E178" s="142">
        <v>400</v>
      </c>
      <c r="F178" s="142">
        <v>400</v>
      </c>
      <c r="G178" s="142">
        <f>400</f>
        <v>400</v>
      </c>
      <c r="H178" s="142">
        <v>0</v>
      </c>
    </row>
    <row r="179" spans="1:8">
      <c r="A179" s="124"/>
      <c r="B179" s="124"/>
      <c r="C179" s="124" t="s">
        <v>924</v>
      </c>
      <c r="D179" s="144">
        <f>SUM(D177:D178)</f>
        <v>400</v>
      </c>
      <c r="E179" s="144">
        <f>SUM(E177:E178)</f>
        <v>400</v>
      </c>
      <c r="F179" s="144">
        <f>SUM(F177:F178)</f>
        <v>400</v>
      </c>
      <c r="G179" s="144">
        <f>SUM(G177:G178)</f>
        <v>400</v>
      </c>
      <c r="H179" s="144">
        <f>SUM(H177:H178)</f>
        <v>0</v>
      </c>
    </row>
    <row r="180" spans="1:8" ht="12" customHeight="1">
      <c r="A180" s="121">
        <v>11</v>
      </c>
      <c r="B180" s="121" t="s">
        <v>904</v>
      </c>
      <c r="C180" s="121"/>
      <c r="D180" s="142"/>
      <c r="E180" s="142"/>
      <c r="F180" s="142"/>
      <c r="G180" s="142"/>
      <c r="H180" s="142"/>
    </row>
    <row r="181" spans="1:8">
      <c r="A181" s="121" t="s">
        <v>706</v>
      </c>
      <c r="B181" s="121"/>
      <c r="C181" s="121" t="s">
        <v>905</v>
      </c>
      <c r="D181" s="142">
        <v>250</v>
      </c>
      <c r="E181" s="142">
        <v>250</v>
      </c>
      <c r="F181" s="142">
        <v>250</v>
      </c>
      <c r="G181" s="142">
        <f>188.23</f>
        <v>188.23</v>
      </c>
      <c r="H181" s="142">
        <f>F181-G181</f>
        <v>61.77000000000001</v>
      </c>
    </row>
    <row r="182" spans="1:8">
      <c r="A182" s="124"/>
      <c r="B182" s="124"/>
      <c r="C182" s="124" t="s">
        <v>924</v>
      </c>
      <c r="D182" s="144">
        <f>SUM(D180:D181)</f>
        <v>250</v>
      </c>
      <c r="E182" s="144">
        <f>SUM(E180:E181)</f>
        <v>250</v>
      </c>
      <c r="F182" s="144">
        <f>SUM(F180:F181)</f>
        <v>250</v>
      </c>
      <c r="G182" s="144">
        <f>SUM(G180:G181)</f>
        <v>188.23</v>
      </c>
      <c r="H182" s="144">
        <f>SUM(H180:H181)</f>
        <v>61.77000000000001</v>
      </c>
    </row>
    <row r="183" spans="1:8" ht="12" customHeight="1">
      <c r="A183" s="121">
        <v>12</v>
      </c>
      <c r="B183" s="121" t="s">
        <v>906</v>
      </c>
      <c r="C183" s="121"/>
      <c r="D183" s="142"/>
      <c r="E183" s="142"/>
      <c r="F183" s="142"/>
      <c r="G183" s="142"/>
      <c r="H183" s="142"/>
    </row>
    <row r="184" spans="1:8">
      <c r="A184" s="121" t="s">
        <v>706</v>
      </c>
      <c r="B184" s="121"/>
      <c r="C184" s="121" t="s">
        <v>795</v>
      </c>
      <c r="D184" s="142">
        <v>50</v>
      </c>
      <c r="E184" s="142">
        <v>50</v>
      </c>
      <c r="F184" s="142">
        <v>50</v>
      </c>
      <c r="G184" s="142">
        <f>48.97</f>
        <v>48.97</v>
      </c>
      <c r="H184" s="142">
        <f>F184-G184</f>
        <v>1.0300000000000011</v>
      </c>
    </row>
    <row r="185" spans="1:8">
      <c r="A185" s="121" t="s">
        <v>709</v>
      </c>
      <c r="B185" s="121"/>
      <c r="C185" s="121" t="s">
        <v>708</v>
      </c>
      <c r="D185" s="142">
        <v>9</v>
      </c>
      <c r="E185" s="142">
        <v>9</v>
      </c>
      <c r="F185" s="142">
        <v>9</v>
      </c>
      <c r="G185" s="142"/>
      <c r="H185" s="142"/>
    </row>
    <row r="186" spans="1:8">
      <c r="A186" s="124"/>
      <c r="B186" s="124"/>
      <c r="C186" s="124" t="s">
        <v>924</v>
      </c>
      <c r="D186" s="144">
        <f>SUM(D183:D185)</f>
        <v>59</v>
      </c>
      <c r="E186" s="144">
        <f>SUM(E183:E185)</f>
        <v>59</v>
      </c>
      <c r="F186" s="144">
        <f>SUM(F183:F185)</f>
        <v>59</v>
      </c>
      <c r="G186" s="144">
        <f>SUM(G183:G185)</f>
        <v>48.97</v>
      </c>
      <c r="H186" s="144">
        <f>SUM(H183:H185)</f>
        <v>1.0300000000000011</v>
      </c>
    </row>
    <row r="187" spans="1:8">
      <c r="A187" s="121">
        <v>13</v>
      </c>
      <c r="B187" s="121" t="s">
        <v>945</v>
      </c>
      <c r="F187" s="122"/>
      <c r="G187" s="122"/>
      <c r="H187" s="122"/>
    </row>
    <row r="188" spans="1:8">
      <c r="A188" s="121" t="s">
        <v>706</v>
      </c>
      <c r="B188" s="121"/>
      <c r="C188" s="121" t="s">
        <v>946</v>
      </c>
      <c r="D188" s="122">
        <v>500</v>
      </c>
      <c r="E188" s="123">
        <v>500</v>
      </c>
      <c r="F188" s="123">
        <v>500</v>
      </c>
      <c r="G188" s="122"/>
      <c r="H188" s="122"/>
    </row>
    <row r="189" spans="1:8">
      <c r="A189" s="124"/>
      <c r="B189" s="124"/>
      <c r="C189" s="124" t="s">
        <v>924</v>
      </c>
      <c r="D189" s="144">
        <f>SUM(D187:D188)</f>
        <v>500</v>
      </c>
      <c r="E189" s="144">
        <f>SUM(E188)</f>
        <v>500</v>
      </c>
      <c r="F189" s="144">
        <f>SUM(F188)</f>
        <v>500</v>
      </c>
      <c r="G189" s="144">
        <f>SUM(G186:G188)</f>
        <v>48.97</v>
      </c>
      <c r="H189" s="144">
        <f>SUM(H186:H188)</f>
        <v>1.0300000000000011</v>
      </c>
    </row>
    <row r="190" spans="1:8">
      <c r="A190" s="121">
        <v>14</v>
      </c>
      <c r="B190" s="121" t="s">
        <v>868</v>
      </c>
      <c r="C190" s="121"/>
      <c r="D190" s="122"/>
      <c r="E190" s="123"/>
      <c r="F190" s="123"/>
      <c r="G190" s="122"/>
      <c r="H190" s="122"/>
    </row>
    <row r="191" spans="1:8">
      <c r="A191" s="121" t="s">
        <v>706</v>
      </c>
      <c r="B191" s="121"/>
      <c r="C191" s="121" t="s">
        <v>872</v>
      </c>
      <c r="D191" s="122">
        <v>900</v>
      </c>
      <c r="E191" s="122">
        <v>900</v>
      </c>
      <c r="F191" s="122">
        <v>900</v>
      </c>
      <c r="G191" s="122">
        <f>345</f>
        <v>345</v>
      </c>
      <c r="H191" s="122">
        <f>F191-G191</f>
        <v>555</v>
      </c>
    </row>
    <row r="192" spans="1:8">
      <c r="A192" s="124"/>
      <c r="B192" s="124"/>
      <c r="C192" s="124" t="s">
        <v>924</v>
      </c>
      <c r="D192" s="144">
        <f>SUM(D190:D191)</f>
        <v>900</v>
      </c>
      <c r="E192" s="144">
        <f>SUM(E191)</f>
        <v>900</v>
      </c>
      <c r="F192" s="144">
        <f>SUM(F191)</f>
        <v>900</v>
      </c>
      <c r="G192" s="144">
        <f>SUM(G189:G191)</f>
        <v>393.97</v>
      </c>
      <c r="H192" s="144">
        <f>SUM(H189:H191)</f>
        <v>556.03</v>
      </c>
    </row>
    <row r="193" spans="1:8" s="133" customFormat="1">
      <c r="A193" s="155">
        <v>15</v>
      </c>
      <c r="B193" s="156" t="s">
        <v>283</v>
      </c>
      <c r="C193" s="156"/>
      <c r="D193" s="143"/>
      <c r="E193" s="143"/>
      <c r="F193" s="143"/>
      <c r="G193" s="143"/>
      <c r="H193" s="143"/>
    </row>
    <row r="194" spans="1:8" s="133" customFormat="1">
      <c r="B194" s="157"/>
      <c r="C194" s="156" t="s">
        <v>284</v>
      </c>
      <c r="D194" s="143">
        <v>1425</v>
      </c>
      <c r="E194" s="143">
        <v>1425</v>
      </c>
      <c r="F194" s="143">
        <v>1425</v>
      </c>
      <c r="G194" s="143"/>
      <c r="H194" s="143"/>
    </row>
    <row r="195" spans="1:8" s="133" customFormat="1">
      <c r="A195" s="155"/>
      <c r="B195" s="156"/>
      <c r="C195" s="156" t="s">
        <v>284</v>
      </c>
      <c r="D195" s="143">
        <v>1325</v>
      </c>
      <c r="E195" s="143">
        <v>1325</v>
      </c>
      <c r="F195" s="143">
        <v>1325</v>
      </c>
      <c r="G195" s="143"/>
      <c r="H195" s="143"/>
    </row>
    <row r="196" spans="1:8" s="133" customFormat="1">
      <c r="A196" s="155"/>
      <c r="B196" s="156"/>
      <c r="C196" s="156" t="s">
        <v>285</v>
      </c>
      <c r="D196" s="143">
        <v>240</v>
      </c>
      <c r="E196" s="143">
        <v>240</v>
      </c>
      <c r="F196" s="143">
        <v>240</v>
      </c>
      <c r="G196" s="143"/>
      <c r="H196" s="143"/>
    </row>
    <row r="197" spans="1:8" s="133" customFormat="1">
      <c r="A197" s="155"/>
      <c r="B197" s="156"/>
      <c r="C197" s="156" t="s">
        <v>708</v>
      </c>
      <c r="D197" s="143">
        <v>9</v>
      </c>
      <c r="E197" s="143">
        <v>9</v>
      </c>
      <c r="F197" s="143">
        <v>9</v>
      </c>
      <c r="G197" s="143"/>
      <c r="H197" s="143"/>
    </row>
    <row r="198" spans="1:8">
      <c r="A198" s="124"/>
      <c r="B198" s="124"/>
      <c r="C198" s="124" t="s">
        <v>924</v>
      </c>
      <c r="D198" s="144">
        <f>SUM(D194:D197)</f>
        <v>2999</v>
      </c>
      <c r="E198" s="144">
        <f>SUM(E194:E197)</f>
        <v>2999</v>
      </c>
      <c r="F198" s="144">
        <f>SUM(F194:F197)</f>
        <v>2999</v>
      </c>
      <c r="G198" s="144">
        <f>SUM(G195:G197)</f>
        <v>0</v>
      </c>
      <c r="H198" s="144">
        <f>SUM(H195:H197)</f>
        <v>0</v>
      </c>
    </row>
    <row r="199" spans="1:8" s="169" customFormat="1">
      <c r="A199" s="168">
        <v>16</v>
      </c>
      <c r="B199" s="168" t="s">
        <v>323</v>
      </c>
      <c r="C199" s="168"/>
      <c r="D199" s="167"/>
      <c r="E199" s="167"/>
      <c r="F199" s="167"/>
      <c r="G199" s="167"/>
      <c r="H199" s="167"/>
    </row>
    <row r="200" spans="1:8" s="169" customFormat="1">
      <c r="A200" s="168"/>
      <c r="B200" s="168"/>
      <c r="C200" s="168" t="s">
        <v>615</v>
      </c>
      <c r="D200" s="167">
        <v>165</v>
      </c>
      <c r="E200" s="167">
        <v>165</v>
      </c>
      <c r="F200" s="167">
        <v>165</v>
      </c>
      <c r="G200" s="167">
        <f>6+24.36</f>
        <v>30.36</v>
      </c>
      <c r="H200" s="167">
        <f>F200-G200</f>
        <v>134.63999999999999</v>
      </c>
    </row>
    <row r="201" spans="1:8" s="169" customFormat="1">
      <c r="A201" s="168"/>
      <c r="B201" s="168"/>
      <c r="C201" s="168" t="s">
        <v>828</v>
      </c>
      <c r="D201" s="167">
        <v>30</v>
      </c>
      <c r="E201" s="167">
        <v>30</v>
      </c>
      <c r="F201" s="167">
        <v>30</v>
      </c>
      <c r="G201" s="167">
        <f>15.62</f>
        <v>15.62</v>
      </c>
      <c r="H201" s="167">
        <f>F201-G201</f>
        <v>14.38</v>
      </c>
    </row>
    <row r="202" spans="1:8" s="169" customFormat="1">
      <c r="A202" s="168"/>
      <c r="B202" s="168"/>
      <c r="C202" s="168" t="s">
        <v>806</v>
      </c>
      <c r="D202" s="167">
        <v>150</v>
      </c>
      <c r="E202" s="167">
        <v>150</v>
      </c>
      <c r="F202" s="167">
        <v>150</v>
      </c>
      <c r="G202" s="167">
        <f>59.04</f>
        <v>59.04</v>
      </c>
      <c r="H202" s="167">
        <f>F202-G202</f>
        <v>90.960000000000008</v>
      </c>
    </row>
    <row r="203" spans="1:8" s="169" customFormat="1">
      <c r="A203" s="168"/>
      <c r="B203" s="168"/>
      <c r="C203" s="168" t="s">
        <v>324</v>
      </c>
      <c r="D203" s="167">
        <v>30</v>
      </c>
      <c r="E203" s="167">
        <v>30</v>
      </c>
      <c r="F203" s="167">
        <v>30</v>
      </c>
      <c r="G203" s="167">
        <f>9.3</f>
        <v>9.3000000000000007</v>
      </c>
      <c r="H203" s="167">
        <f>F203-G203</f>
        <v>20.7</v>
      </c>
    </row>
    <row r="204" spans="1:8">
      <c r="A204" s="124"/>
      <c r="B204" s="124"/>
      <c r="C204" s="124" t="s">
        <v>924</v>
      </c>
      <c r="D204" s="144">
        <f>SUM(D200:D203)</f>
        <v>375</v>
      </c>
      <c r="E204" s="144">
        <f>SUM(E200:E203)</f>
        <v>375</v>
      </c>
      <c r="F204" s="144">
        <f>SUM(F200:F203)</f>
        <v>375</v>
      </c>
      <c r="G204" s="144">
        <f>SUM(G201:G203)</f>
        <v>83.96</v>
      </c>
      <c r="H204" s="144">
        <f>SUM(H201:H203)</f>
        <v>126.04</v>
      </c>
    </row>
    <row r="205" spans="1:8">
      <c r="A205" s="149" t="s">
        <v>907</v>
      </c>
      <c r="B205" s="146"/>
      <c r="C205" s="146"/>
      <c r="D205" s="147">
        <f>SUM(D242,D198,D192,D189,D186,D182,D179,D176,D168,D164,D160,D157,D152,D147,D143,D139)</f>
        <v>10770.92</v>
      </c>
      <c r="E205" s="147">
        <f>SUM(E204,E198,E192,E189,E186,E182,E179,E176,E168,E164,E160,E157,E152,E147,E143,E139)</f>
        <v>10417.92</v>
      </c>
      <c r="F205" s="147">
        <f>SUM(F204,F198,F192,F189,F186,F182,F179,F176,F168,F164,F160,F157,F152,F147,F143,F139)</f>
        <v>8129.92</v>
      </c>
      <c r="G205" s="147">
        <f>SUM(G186,G182,G179,G176,G168,G164,G160,G157,G152,G147,G143,G139)</f>
        <v>1126.5</v>
      </c>
      <c r="H205" s="147">
        <f>SUM(H186,H182,H179,H176,H168,H164,H160,H157,H152,H147,H143,H139)</f>
        <v>81</v>
      </c>
    </row>
    <row r="206" spans="1:8" ht="12" customHeight="1">
      <c r="A206" s="158" t="s">
        <v>286</v>
      </c>
      <c r="B206" s="159"/>
      <c r="C206" s="159"/>
      <c r="D206" s="160"/>
      <c r="E206" s="160"/>
      <c r="F206" s="161"/>
      <c r="G206" s="161"/>
      <c r="H206" s="161"/>
    </row>
    <row r="207" spans="1:8" ht="12" customHeight="1">
      <c r="A207" s="117"/>
      <c r="B207" s="118" t="s">
        <v>923</v>
      </c>
      <c r="C207" s="118" t="s">
        <v>699</v>
      </c>
      <c r="D207" s="140" t="s">
        <v>700</v>
      </c>
      <c r="E207" s="140" t="s">
        <v>701</v>
      </c>
      <c r="F207" s="141" t="s">
        <v>702</v>
      </c>
      <c r="G207" s="141" t="s">
        <v>703</v>
      </c>
      <c r="H207" s="141" t="s">
        <v>704</v>
      </c>
    </row>
    <row r="208" spans="1:8" ht="12" customHeight="1">
      <c r="A208" s="121">
        <v>1</v>
      </c>
      <c r="B208" s="121" t="s">
        <v>772</v>
      </c>
      <c r="C208" s="121"/>
      <c r="D208" s="142"/>
      <c r="E208" s="142"/>
      <c r="F208" s="142"/>
      <c r="G208" s="142"/>
      <c r="H208" s="142"/>
    </row>
    <row r="209" spans="1:9" ht="12" customHeight="1">
      <c r="A209" s="121" t="s">
        <v>706</v>
      </c>
      <c r="B209" s="121"/>
      <c r="C209" s="121" t="s">
        <v>321</v>
      </c>
      <c r="D209" s="142">
        <f>53.96+132.991</f>
        <v>186.95100000000002</v>
      </c>
      <c r="E209" s="142">
        <f>53.96+132.991</f>
        <v>186.95100000000002</v>
      </c>
      <c r="F209" s="142">
        <f>53.96+132.991</f>
        <v>186.95100000000002</v>
      </c>
      <c r="G209" s="142">
        <f>186.95</f>
        <v>186.95</v>
      </c>
      <c r="H209" s="142"/>
    </row>
    <row r="210" spans="1:9">
      <c r="A210" s="121" t="s">
        <v>709</v>
      </c>
      <c r="B210" s="121"/>
      <c r="C210" s="121" t="s">
        <v>322</v>
      </c>
      <c r="D210" s="142">
        <v>200</v>
      </c>
      <c r="E210" s="142" t="s">
        <v>862</v>
      </c>
      <c r="F210" s="142" t="s">
        <v>862</v>
      </c>
      <c r="G210" s="142"/>
      <c r="H210" s="142"/>
      <c r="I210">
        <f>216.87-186.95</f>
        <v>29.920000000000016</v>
      </c>
    </row>
    <row r="211" spans="1:9">
      <c r="A211" s="121" t="s">
        <v>710</v>
      </c>
      <c r="B211" s="121"/>
      <c r="C211" s="121" t="s">
        <v>287</v>
      </c>
      <c r="D211" s="142">
        <v>30</v>
      </c>
      <c r="E211" s="142">
        <v>30</v>
      </c>
      <c r="F211" s="142">
        <v>30</v>
      </c>
      <c r="G211" s="142">
        <f>29.92</f>
        <v>29.92</v>
      </c>
      <c r="H211" s="142"/>
    </row>
    <row r="212" spans="1:9">
      <c r="A212" s="121"/>
      <c r="B212" s="121"/>
      <c r="C212" s="121" t="s">
        <v>361</v>
      </c>
      <c r="D212" s="142">
        <v>9</v>
      </c>
      <c r="E212" s="142">
        <v>9</v>
      </c>
      <c r="F212" s="142">
        <v>9</v>
      </c>
      <c r="G212" s="142">
        <f>9</f>
        <v>9</v>
      </c>
      <c r="H212" s="142"/>
    </row>
    <row r="213" spans="1:9">
      <c r="A213" s="121"/>
      <c r="B213" s="121"/>
      <c r="C213" s="121" t="s">
        <v>795</v>
      </c>
      <c r="D213" s="142">
        <v>50</v>
      </c>
      <c r="E213" s="142">
        <v>50</v>
      </c>
      <c r="F213" s="142">
        <v>50</v>
      </c>
      <c r="G213" s="142">
        <f>50</f>
        <v>50</v>
      </c>
      <c r="H213" s="142"/>
    </row>
    <row r="214" spans="1:9">
      <c r="A214" s="124"/>
      <c r="B214" s="124"/>
      <c r="C214" s="124" t="s">
        <v>924</v>
      </c>
      <c r="D214" s="144">
        <f>SUM(D208:D213)</f>
        <v>475.95100000000002</v>
      </c>
      <c r="E214" s="144">
        <f>SUM(E208:E213)</f>
        <v>275.95100000000002</v>
      </c>
      <c r="F214" s="144">
        <f>SUM(F208:F213)</f>
        <v>275.95100000000002</v>
      </c>
      <c r="G214" s="144">
        <f>SUM(G208:G211)</f>
        <v>216.87</v>
      </c>
      <c r="H214" s="144">
        <f>SUM(H208:H211)</f>
        <v>0</v>
      </c>
    </row>
    <row r="215" spans="1:9" ht="12" customHeight="1">
      <c r="A215" s="121">
        <v>2</v>
      </c>
      <c r="B215" s="121" t="s">
        <v>288</v>
      </c>
      <c r="C215" s="121"/>
      <c r="D215" s="142"/>
      <c r="E215" s="142"/>
      <c r="F215" s="142"/>
      <c r="G215" s="142"/>
      <c r="H215" s="142"/>
    </row>
    <row r="216" spans="1:9" ht="12" customHeight="1">
      <c r="A216" s="121" t="s">
        <v>706</v>
      </c>
      <c r="B216" s="121"/>
      <c r="C216" s="121" t="s">
        <v>460</v>
      </c>
      <c r="D216" s="142">
        <v>9</v>
      </c>
      <c r="E216" s="142">
        <v>9</v>
      </c>
      <c r="F216" s="142">
        <v>9</v>
      </c>
      <c r="G216" s="142"/>
      <c r="H216" s="142"/>
    </row>
    <row r="217" spans="1:9">
      <c r="A217" s="121" t="s">
        <v>709</v>
      </c>
      <c r="B217" s="121"/>
      <c r="C217" s="121" t="s">
        <v>289</v>
      </c>
      <c r="D217" s="142">
        <v>35</v>
      </c>
      <c r="E217" s="142">
        <v>35</v>
      </c>
      <c r="F217" s="142">
        <v>35</v>
      </c>
      <c r="G217" s="142"/>
      <c r="H217" s="142"/>
      <c r="I217" t="s">
        <v>315</v>
      </c>
    </row>
    <row r="218" spans="1:9">
      <c r="A218" s="124"/>
      <c r="B218" s="124"/>
      <c r="C218" s="124" t="s">
        <v>924</v>
      </c>
      <c r="D218" s="144">
        <f>SUM(D215:D217)</f>
        <v>44</v>
      </c>
      <c r="E218" s="144">
        <f>SUM(E215:E217)</f>
        <v>44</v>
      </c>
      <c r="F218" s="144">
        <f>SUM(F215:F217)</f>
        <v>44</v>
      </c>
      <c r="G218" s="144">
        <f>SUM(G215:G217)</f>
        <v>0</v>
      </c>
      <c r="H218" s="144">
        <f>SUM(H215:H217)</f>
        <v>0</v>
      </c>
    </row>
    <row r="219" spans="1:9" ht="12" customHeight="1">
      <c r="A219" s="121">
        <v>3</v>
      </c>
      <c r="B219" s="121" t="s">
        <v>695</v>
      </c>
      <c r="C219" s="121"/>
      <c r="D219" s="142"/>
      <c r="E219" s="142"/>
      <c r="F219" s="142"/>
      <c r="G219" s="142"/>
      <c r="H219" s="142"/>
    </row>
    <row r="220" spans="1:9" ht="12" customHeight="1">
      <c r="A220" s="121" t="s">
        <v>706</v>
      </c>
      <c r="B220" s="121"/>
      <c r="C220" s="121" t="s">
        <v>311</v>
      </c>
      <c r="D220" s="142">
        <v>150</v>
      </c>
      <c r="E220" s="142"/>
      <c r="F220" s="142"/>
      <c r="G220" s="142"/>
      <c r="H220" s="142"/>
    </row>
    <row r="221" spans="1:9">
      <c r="A221" s="121" t="s">
        <v>709</v>
      </c>
      <c r="B221" s="121"/>
      <c r="C221" s="121" t="s">
        <v>312</v>
      </c>
      <c r="D221" s="142">
        <v>35</v>
      </c>
      <c r="E221" s="142"/>
      <c r="F221" s="142"/>
      <c r="G221" s="142"/>
      <c r="H221" s="142"/>
    </row>
    <row r="222" spans="1:9">
      <c r="A222" s="121" t="s">
        <v>710</v>
      </c>
      <c r="B222" s="121"/>
      <c r="C222" s="121" t="s">
        <v>313</v>
      </c>
      <c r="D222" s="142">
        <v>100</v>
      </c>
      <c r="E222" s="142"/>
      <c r="F222" s="142"/>
      <c r="G222" s="142"/>
      <c r="H222" s="142"/>
    </row>
    <row r="223" spans="1:9">
      <c r="A223" s="124"/>
      <c r="B223" s="124"/>
      <c r="C223" s="124" t="s">
        <v>924</v>
      </c>
      <c r="D223" s="144">
        <f>SUM(D219:D222)</f>
        <v>285</v>
      </c>
      <c r="E223" s="144">
        <f>SUM(E219:E222)</f>
        <v>0</v>
      </c>
      <c r="F223" s="144">
        <f>SUM(F219:F222)</f>
        <v>0</v>
      </c>
      <c r="G223" s="144">
        <f>SUM(G219:G222)</f>
        <v>0</v>
      </c>
      <c r="H223" s="144">
        <f>SUM(H219:H222)</f>
        <v>0</v>
      </c>
    </row>
    <row r="224" spans="1:9" ht="12" customHeight="1">
      <c r="A224" s="121">
        <v>4</v>
      </c>
      <c r="B224" s="121" t="s">
        <v>290</v>
      </c>
      <c r="C224" s="121"/>
      <c r="D224" s="142"/>
      <c r="E224" s="142"/>
      <c r="F224" s="142"/>
      <c r="G224" s="142"/>
      <c r="H224" s="142"/>
    </row>
    <row r="225" spans="1:9" ht="12" customHeight="1">
      <c r="A225" s="121" t="s">
        <v>706</v>
      </c>
      <c r="B225" s="121"/>
      <c r="C225" s="121" t="s">
        <v>291</v>
      </c>
      <c r="D225" s="142">
        <v>9</v>
      </c>
      <c r="E225" s="142">
        <v>9</v>
      </c>
      <c r="F225" s="142">
        <v>9</v>
      </c>
      <c r="G225" s="142"/>
      <c r="H225" s="142"/>
    </row>
    <row r="226" spans="1:9" ht="12" customHeight="1">
      <c r="A226" s="121" t="s">
        <v>709</v>
      </c>
      <c r="B226" s="121"/>
      <c r="C226" s="121" t="s">
        <v>326</v>
      </c>
      <c r="D226" s="142">
        <v>100</v>
      </c>
      <c r="E226" s="142">
        <v>100</v>
      </c>
      <c r="F226" s="142">
        <v>100</v>
      </c>
      <c r="G226" s="142"/>
      <c r="H226" s="142"/>
    </row>
    <row r="227" spans="1:9">
      <c r="A227" s="121" t="s">
        <v>710</v>
      </c>
      <c r="B227" s="121"/>
      <c r="C227" s="121" t="s">
        <v>292</v>
      </c>
      <c r="D227" s="142">
        <v>500</v>
      </c>
      <c r="E227" s="142">
        <v>0</v>
      </c>
      <c r="F227" s="142">
        <v>0</v>
      </c>
      <c r="G227" s="142"/>
      <c r="H227" s="142"/>
    </row>
    <row r="228" spans="1:9">
      <c r="A228" s="121" t="s">
        <v>712</v>
      </c>
      <c r="B228" s="121"/>
      <c r="C228" s="121" t="s">
        <v>293</v>
      </c>
      <c r="D228" s="142">
        <v>1500</v>
      </c>
      <c r="E228" s="142">
        <v>750</v>
      </c>
      <c r="F228" s="142">
        <v>750</v>
      </c>
      <c r="G228" s="142">
        <v>750</v>
      </c>
      <c r="H228" s="142">
        <v>0</v>
      </c>
    </row>
    <row r="229" spans="1:9">
      <c r="A229" s="121" t="s">
        <v>713</v>
      </c>
      <c r="B229" s="121"/>
      <c r="C229" s="121" t="s">
        <v>314</v>
      </c>
      <c r="D229" s="142">
        <v>200</v>
      </c>
      <c r="E229" s="142">
        <v>200</v>
      </c>
      <c r="F229" s="142">
        <v>200</v>
      </c>
      <c r="G229" s="142"/>
      <c r="H229" s="142"/>
    </row>
    <row r="230" spans="1:9">
      <c r="A230" s="124"/>
      <c r="B230" s="124"/>
      <c r="C230" s="124" t="s">
        <v>924</v>
      </c>
      <c r="D230" s="144">
        <f>SUM(D224:D229)</f>
        <v>2309</v>
      </c>
      <c r="E230" s="144">
        <f>SUM(E224:E229)</f>
        <v>1059</v>
      </c>
      <c r="F230" s="144">
        <f>SUM(F224:F229)</f>
        <v>1059</v>
      </c>
      <c r="G230" s="144">
        <f>SUM(G224:G229)</f>
        <v>750</v>
      </c>
      <c r="H230" s="144">
        <f>SUM(H224:H229)</f>
        <v>0</v>
      </c>
    </row>
    <row r="231" spans="1:9" ht="12" customHeight="1">
      <c r="A231" s="121">
        <v>5</v>
      </c>
      <c r="B231" s="121" t="s">
        <v>294</v>
      </c>
      <c r="C231" s="121"/>
      <c r="D231" s="142"/>
      <c r="E231" s="142"/>
      <c r="F231" s="142"/>
      <c r="G231" s="142"/>
      <c r="H231" s="142"/>
    </row>
    <row r="232" spans="1:9" ht="12" customHeight="1">
      <c r="A232" s="121" t="s">
        <v>706</v>
      </c>
      <c r="B232" s="121"/>
      <c r="C232" s="121" t="s">
        <v>295</v>
      </c>
      <c r="D232" s="142">
        <v>1800</v>
      </c>
      <c r="E232" s="142">
        <v>1407.17</v>
      </c>
      <c r="F232" s="142">
        <v>1407.17</v>
      </c>
      <c r="G232" s="142"/>
      <c r="H232" s="142"/>
    </row>
    <row r="233" spans="1:9" ht="12" customHeight="1">
      <c r="A233" s="121" t="s">
        <v>709</v>
      </c>
      <c r="B233" s="121"/>
      <c r="C233" s="121" t="s">
        <v>711</v>
      </c>
      <c r="D233" s="142">
        <v>1825</v>
      </c>
      <c r="E233" s="142">
        <v>912.5</v>
      </c>
      <c r="F233" s="142">
        <v>912.5</v>
      </c>
      <c r="G233" s="142"/>
      <c r="H233" s="142"/>
    </row>
    <row r="234" spans="1:9">
      <c r="A234" s="121" t="s">
        <v>710</v>
      </c>
      <c r="B234" s="121"/>
      <c r="C234" s="121" t="s">
        <v>296</v>
      </c>
      <c r="D234" s="142">
        <v>2000</v>
      </c>
      <c r="E234" s="142">
        <v>0</v>
      </c>
      <c r="F234" s="142">
        <v>0</v>
      </c>
      <c r="G234" s="142"/>
      <c r="H234" s="142"/>
    </row>
    <row r="235" spans="1:9">
      <c r="A235" s="121" t="s">
        <v>710</v>
      </c>
      <c r="B235" s="121"/>
      <c r="C235" s="121" t="s">
        <v>761</v>
      </c>
      <c r="D235" s="142">
        <v>600</v>
      </c>
      <c r="E235" s="142">
        <v>575</v>
      </c>
      <c r="F235" s="142">
        <v>575</v>
      </c>
      <c r="G235" s="142"/>
      <c r="H235" s="142"/>
    </row>
    <row r="236" spans="1:9">
      <c r="A236" s="121" t="s">
        <v>712</v>
      </c>
      <c r="B236" s="121"/>
      <c r="C236" s="121" t="s">
        <v>297</v>
      </c>
      <c r="D236" s="142">
        <v>200</v>
      </c>
      <c r="E236" s="142">
        <v>0</v>
      </c>
      <c r="F236" s="142">
        <v>0</v>
      </c>
      <c r="G236" s="142"/>
      <c r="H236" s="142"/>
    </row>
    <row r="237" spans="1:9">
      <c r="A237" s="124"/>
      <c r="B237" s="124"/>
      <c r="C237" s="124" t="s">
        <v>924</v>
      </c>
      <c r="D237" s="144">
        <f>SUM(D231:D236)</f>
        <v>6425</v>
      </c>
      <c r="E237" s="144">
        <f>SUM(E231:E236)</f>
        <v>2894.67</v>
      </c>
      <c r="F237" s="144">
        <f>SUM(F231:F236)</f>
        <v>2894.67</v>
      </c>
      <c r="G237" s="144">
        <f>SUM(G231:G236)</f>
        <v>0</v>
      </c>
      <c r="H237" s="144">
        <f>SUM(H231:H236)</f>
        <v>0</v>
      </c>
    </row>
    <row r="238" spans="1:9">
      <c r="A238" s="121">
        <v>6</v>
      </c>
      <c r="B238" s="121" t="s">
        <v>298</v>
      </c>
      <c r="C238" s="121"/>
      <c r="D238" s="142"/>
      <c r="E238" s="142"/>
      <c r="F238" s="142"/>
      <c r="G238" s="142"/>
      <c r="H238" s="142"/>
    </row>
    <row r="239" spans="1:9" ht="12" customHeight="1">
      <c r="A239" s="121" t="s">
        <v>706</v>
      </c>
      <c r="B239" s="121"/>
      <c r="C239" s="121" t="s">
        <v>299</v>
      </c>
      <c r="D239" s="142">
        <v>150</v>
      </c>
      <c r="E239" s="142">
        <v>150</v>
      </c>
      <c r="F239" s="142">
        <v>150</v>
      </c>
      <c r="G239" s="142">
        <f>22.26+107.93</f>
        <v>130.19</v>
      </c>
      <c r="H239" s="142"/>
      <c r="I239" t="s">
        <v>315</v>
      </c>
    </row>
    <row r="240" spans="1:9">
      <c r="A240" s="121" t="s">
        <v>709</v>
      </c>
      <c r="B240" s="121"/>
      <c r="C240" s="121" t="s">
        <v>708</v>
      </c>
      <c r="D240" s="142">
        <v>12.5</v>
      </c>
      <c r="E240" s="142">
        <v>12.5</v>
      </c>
      <c r="F240" s="142">
        <v>12.5</v>
      </c>
      <c r="G240" s="142"/>
      <c r="H240" s="142"/>
    </row>
    <row r="241" spans="1:9" ht="12" customHeight="1">
      <c r="A241" s="121" t="s">
        <v>710</v>
      </c>
      <c r="B241" s="121"/>
      <c r="C241" s="121" t="s">
        <v>301</v>
      </c>
      <c r="D241" s="142">
        <v>50</v>
      </c>
      <c r="E241" s="142">
        <v>50</v>
      </c>
      <c r="F241" s="142">
        <v>50</v>
      </c>
      <c r="G241" s="142"/>
      <c r="H241" s="142"/>
    </row>
    <row r="242" spans="1:9" ht="12" customHeight="1">
      <c r="A242" s="121" t="s">
        <v>712</v>
      </c>
      <c r="B242" s="121"/>
      <c r="C242" s="121" t="s">
        <v>302</v>
      </c>
      <c r="D242" s="142">
        <v>30</v>
      </c>
      <c r="E242" s="142">
        <v>30</v>
      </c>
      <c r="F242" s="142">
        <v>30</v>
      </c>
      <c r="G242" s="142"/>
      <c r="H242" s="142"/>
    </row>
    <row r="243" spans="1:9">
      <c r="A243" s="121" t="s">
        <v>713</v>
      </c>
      <c r="B243" s="121"/>
      <c r="C243" s="121" t="s">
        <v>303</v>
      </c>
      <c r="D243" s="142">
        <v>9</v>
      </c>
      <c r="E243" s="142">
        <v>9</v>
      </c>
      <c r="F243" s="142">
        <v>9</v>
      </c>
      <c r="G243" s="142">
        <f>9</f>
        <v>9</v>
      </c>
      <c r="H243" s="142">
        <v>0</v>
      </c>
    </row>
    <row r="244" spans="1:9">
      <c r="A244" s="121" t="s">
        <v>714</v>
      </c>
      <c r="B244" s="121"/>
      <c r="C244" s="121" t="s">
        <v>304</v>
      </c>
      <c r="D244" s="142">
        <v>9</v>
      </c>
      <c r="E244" s="142">
        <v>9</v>
      </c>
      <c r="F244" s="142">
        <v>9</v>
      </c>
      <c r="G244" s="142"/>
      <c r="H244" s="142"/>
    </row>
    <row r="245" spans="1:9">
      <c r="A245" s="124"/>
      <c r="B245" s="124"/>
      <c r="C245" s="124" t="s">
        <v>924</v>
      </c>
      <c r="D245" s="144">
        <f>SUM(D239:D244)</f>
        <v>260.5</v>
      </c>
      <c r="E245" s="144">
        <f>SUM(E239:E244)</f>
        <v>260.5</v>
      </c>
      <c r="F245" s="144">
        <f>SUM(F239:F244)</f>
        <v>260.5</v>
      </c>
      <c r="G245" s="144">
        <f>SUM(G238:G240)</f>
        <v>130.19</v>
      </c>
      <c r="H245" s="144">
        <f>SUM(H238:H240)</f>
        <v>0</v>
      </c>
    </row>
    <row r="246" spans="1:9" ht="12" customHeight="1">
      <c r="A246" s="121">
        <v>7</v>
      </c>
      <c r="B246" s="121" t="s">
        <v>869</v>
      </c>
      <c r="C246" s="121"/>
      <c r="D246" s="142"/>
      <c r="E246" s="142"/>
      <c r="F246" s="142"/>
      <c r="G246" s="142"/>
      <c r="H246" s="142"/>
    </row>
    <row r="247" spans="1:9" ht="12" customHeight="1">
      <c r="A247" s="121" t="s">
        <v>706</v>
      </c>
      <c r="B247" s="121"/>
      <c r="C247" s="121" t="s">
        <v>300</v>
      </c>
      <c r="D247" s="142">
        <v>39</v>
      </c>
      <c r="E247" s="142">
        <v>39</v>
      </c>
      <c r="F247" s="142">
        <v>39</v>
      </c>
      <c r="G247" s="142"/>
      <c r="H247" s="142"/>
    </row>
    <row r="248" spans="1:9">
      <c r="A248" s="124"/>
      <c r="B248" s="124"/>
      <c r="C248" s="124" t="s">
        <v>924</v>
      </c>
      <c r="D248" s="144">
        <f>SUM(D246:D247)</f>
        <v>39</v>
      </c>
      <c r="E248" s="144">
        <f>SUM(E246:E247)</f>
        <v>39</v>
      </c>
      <c r="F248" s="144">
        <f>SUM(F246:F247)</f>
        <v>39</v>
      </c>
      <c r="G248" s="144">
        <f>SUM(G246:G247)</f>
        <v>0</v>
      </c>
      <c r="H248" s="144">
        <f>SUM(H246:H247)</f>
        <v>0</v>
      </c>
    </row>
    <row r="249" spans="1:9" ht="12" customHeight="1">
      <c r="A249" s="121">
        <v>8</v>
      </c>
      <c r="B249" s="121" t="s">
        <v>941</v>
      </c>
      <c r="C249" s="121"/>
      <c r="D249" s="142"/>
      <c r="E249" s="142"/>
      <c r="F249" s="142"/>
      <c r="G249" s="142"/>
      <c r="H249" s="142"/>
    </row>
    <row r="250" spans="1:9" ht="12" customHeight="1">
      <c r="A250" s="121" t="s">
        <v>706</v>
      </c>
      <c r="B250" s="121"/>
      <c r="C250" s="121" t="s">
        <v>711</v>
      </c>
      <c r="D250" s="142">
        <v>50</v>
      </c>
      <c r="E250" s="142">
        <v>50</v>
      </c>
      <c r="F250" s="142">
        <v>50</v>
      </c>
      <c r="G250" s="142">
        <f>50</f>
        <v>50</v>
      </c>
      <c r="H250" s="142">
        <f>F250-G250</f>
        <v>0</v>
      </c>
      <c r="I250" t="s">
        <v>315</v>
      </c>
    </row>
    <row r="251" spans="1:9">
      <c r="A251" s="121" t="s">
        <v>709</v>
      </c>
      <c r="B251" s="121"/>
      <c r="C251" s="121" t="s">
        <v>708</v>
      </c>
      <c r="D251" s="142">
        <v>0</v>
      </c>
      <c r="E251" s="142">
        <v>0</v>
      </c>
      <c r="F251" s="142"/>
      <c r="G251" s="142"/>
      <c r="H251" s="142"/>
    </row>
    <row r="252" spans="1:9">
      <c r="A252" s="124"/>
      <c r="B252" s="124"/>
      <c r="C252" s="124" t="s">
        <v>924</v>
      </c>
      <c r="D252" s="144">
        <f>SUM(D249:D251)</f>
        <v>50</v>
      </c>
      <c r="E252" s="144">
        <f>SUM(E249:E251)</f>
        <v>50</v>
      </c>
      <c r="F252" s="144">
        <f>SUM(F249:F251)</f>
        <v>50</v>
      </c>
      <c r="G252" s="144">
        <f>SUM(G249:G251)</f>
        <v>50</v>
      </c>
      <c r="H252" s="144">
        <f>SUM(H249:H251)</f>
        <v>0</v>
      </c>
    </row>
    <row r="253" spans="1:9" ht="12" customHeight="1">
      <c r="A253" s="121">
        <v>9</v>
      </c>
      <c r="B253" s="121" t="s">
        <v>305</v>
      </c>
      <c r="C253" s="121"/>
      <c r="D253" s="142"/>
      <c r="E253" s="142"/>
      <c r="F253" s="142"/>
      <c r="G253" s="142"/>
      <c r="H253" s="142"/>
    </row>
    <row r="254" spans="1:9" ht="12" customHeight="1">
      <c r="A254" s="121" t="s">
        <v>706</v>
      </c>
      <c r="B254" s="121"/>
      <c r="C254" s="121" t="s">
        <v>306</v>
      </c>
      <c r="D254" s="142">
        <v>24</v>
      </c>
      <c r="E254" s="142">
        <v>24</v>
      </c>
      <c r="F254" s="142">
        <v>24</v>
      </c>
      <c r="G254" s="142"/>
      <c r="H254" s="142"/>
    </row>
    <row r="255" spans="1:9">
      <c r="A255" s="121" t="s">
        <v>709</v>
      </c>
      <c r="B255" s="121"/>
      <c r="C255" s="121" t="s">
        <v>708</v>
      </c>
      <c r="D255" s="142">
        <v>9</v>
      </c>
      <c r="E255" s="142">
        <v>9</v>
      </c>
      <c r="F255" s="142">
        <v>9</v>
      </c>
      <c r="G255" s="142"/>
      <c r="H255" s="142"/>
    </row>
    <row r="256" spans="1:9">
      <c r="A256" s="124"/>
      <c r="B256" s="124"/>
      <c r="C256" s="124" t="s">
        <v>924</v>
      </c>
      <c r="D256" s="144">
        <f>SUM(D253:D255)</f>
        <v>33</v>
      </c>
      <c r="E256" s="144">
        <f>SUM(E253:E255)</f>
        <v>33</v>
      </c>
      <c r="F256" s="144">
        <f>SUM(F253:F255)</f>
        <v>33</v>
      </c>
      <c r="G256" s="144">
        <f>SUM(G253:G255)</f>
        <v>0</v>
      </c>
      <c r="H256" s="144">
        <f>SUM(H253:H255)</f>
        <v>0</v>
      </c>
    </row>
    <row r="257" spans="1:8">
      <c r="A257" s="121">
        <v>10</v>
      </c>
      <c r="B257" s="121" t="s">
        <v>566</v>
      </c>
      <c r="C257" s="121"/>
      <c r="D257" s="142"/>
      <c r="E257" s="142"/>
      <c r="F257" s="142"/>
      <c r="G257" s="142"/>
      <c r="H257" s="142"/>
    </row>
    <row r="258" spans="1:8" ht="12" customHeight="1">
      <c r="A258" s="121" t="s">
        <v>706</v>
      </c>
      <c r="B258" s="121"/>
      <c r="C258" s="121" t="s">
        <v>888</v>
      </c>
      <c r="D258" s="142">
        <v>1938</v>
      </c>
      <c r="E258" s="142">
        <v>1550</v>
      </c>
      <c r="F258" s="142">
        <v>1550</v>
      </c>
      <c r="G258" s="142">
        <f>1140</f>
        <v>1140</v>
      </c>
      <c r="H258" s="142">
        <f>F258-G258</f>
        <v>410</v>
      </c>
    </row>
    <row r="259" spans="1:8">
      <c r="A259" s="121" t="s">
        <v>709</v>
      </c>
      <c r="B259" s="121"/>
      <c r="C259" s="121" t="s">
        <v>889</v>
      </c>
      <c r="D259" s="142">
        <v>350</v>
      </c>
      <c r="E259" s="142">
        <v>350</v>
      </c>
      <c r="F259" s="142">
        <v>350</v>
      </c>
      <c r="G259" s="142"/>
      <c r="H259" s="142"/>
    </row>
    <row r="260" spans="1:8" ht="12" customHeight="1">
      <c r="A260" s="121" t="s">
        <v>710</v>
      </c>
      <c r="B260" s="121"/>
      <c r="C260" s="121" t="s">
        <v>307</v>
      </c>
      <c r="D260" s="142">
        <v>65</v>
      </c>
      <c r="E260" s="142">
        <v>65</v>
      </c>
      <c r="F260" s="142">
        <v>65</v>
      </c>
      <c r="G260" s="142"/>
      <c r="H260" s="142"/>
    </row>
    <row r="261" spans="1:8" ht="12" customHeight="1">
      <c r="A261" s="121" t="s">
        <v>712</v>
      </c>
      <c r="B261" s="121"/>
      <c r="C261" s="121" t="s">
        <v>308</v>
      </c>
      <c r="D261" s="142">
        <v>675</v>
      </c>
      <c r="E261" s="142">
        <v>675</v>
      </c>
      <c r="F261" s="142">
        <v>675</v>
      </c>
      <c r="G261" s="142">
        <f>337.5</f>
        <v>337.5</v>
      </c>
      <c r="H261" s="142">
        <f>F261-G261</f>
        <v>337.5</v>
      </c>
    </row>
    <row r="262" spans="1:8">
      <c r="A262" s="121" t="s">
        <v>713</v>
      </c>
      <c r="B262" s="121"/>
      <c r="C262" s="121" t="s">
        <v>309</v>
      </c>
      <c r="D262" s="142">
        <v>200</v>
      </c>
      <c r="E262" s="142">
        <v>200</v>
      </c>
      <c r="F262" s="142">
        <v>200</v>
      </c>
      <c r="G262" s="142">
        <f>100</f>
        <v>100</v>
      </c>
      <c r="H262" s="142"/>
    </row>
    <row r="263" spans="1:8">
      <c r="A263" s="124"/>
      <c r="B263" s="124"/>
      <c r="C263" s="124" t="s">
        <v>924</v>
      </c>
      <c r="D263" s="144">
        <f>SUM(D258:D262)</f>
        <v>3228</v>
      </c>
      <c r="E263" s="144">
        <f>SUM(E258:E262)</f>
        <v>2840</v>
      </c>
      <c r="F263" s="144">
        <f>SUM(F258:F262)</f>
        <v>2840</v>
      </c>
      <c r="G263" s="144">
        <f>SUM(G257:G259)</f>
        <v>1140</v>
      </c>
      <c r="H263" s="144">
        <f>SUM(H257:H259)</f>
        <v>410</v>
      </c>
    </row>
    <row r="264" spans="1:8" s="113" customFormat="1">
      <c r="A264" s="164">
        <v>11</v>
      </c>
      <c r="B264" s="166" t="s">
        <v>320</v>
      </c>
      <c r="C264" s="164"/>
      <c r="D264" s="165"/>
      <c r="E264" s="165"/>
      <c r="F264" s="165"/>
      <c r="G264" s="165"/>
      <c r="H264" s="165"/>
    </row>
    <row r="265" spans="1:8" s="113" customFormat="1">
      <c r="A265" s="164" t="s">
        <v>706</v>
      </c>
      <c r="B265" s="164"/>
      <c r="C265" s="166" t="s">
        <v>854</v>
      </c>
      <c r="D265" s="165">
        <v>1155.5999999999999</v>
      </c>
      <c r="E265" s="165">
        <v>1155.5999999999999</v>
      </c>
      <c r="F265" s="165">
        <v>1155.5999999999999</v>
      </c>
      <c r="G265" s="165">
        <f>1155.48</f>
        <v>1155.48</v>
      </c>
      <c r="H265" s="165">
        <f>F265-G265</f>
        <v>0.11999999999989086</v>
      </c>
    </row>
    <row r="266" spans="1:8">
      <c r="A266" s="124"/>
      <c r="B266" s="124"/>
      <c r="C266" s="124" t="s">
        <v>924</v>
      </c>
      <c r="D266" s="144">
        <f>SUM(D265)</f>
        <v>1155.5999999999999</v>
      </c>
      <c r="E266" s="144">
        <f>SUM(E265)</f>
        <v>1155.5999999999999</v>
      </c>
      <c r="F266" s="144">
        <f>SUM(F265)</f>
        <v>1155.5999999999999</v>
      </c>
      <c r="G266" s="144">
        <f>SUM(G260:G262)</f>
        <v>437.5</v>
      </c>
      <c r="H266" s="144">
        <f>SUM(H260:H262)</f>
        <v>337.5</v>
      </c>
    </row>
    <row r="267" spans="1:8">
      <c r="A267">
        <v>12</v>
      </c>
      <c r="B267" s="170" t="s">
        <v>327</v>
      </c>
    </row>
    <row r="268" spans="1:8">
      <c r="C268" s="170" t="s">
        <v>854</v>
      </c>
      <c r="D268">
        <v>866.3</v>
      </c>
      <c r="E268">
        <v>866.3</v>
      </c>
      <c r="F268">
        <v>866.3</v>
      </c>
      <c r="G268">
        <f>866.3</f>
        <v>866.3</v>
      </c>
      <c r="H268">
        <v>0</v>
      </c>
    </row>
    <row r="269" spans="1:8">
      <c r="A269" s="124"/>
      <c r="B269" s="124"/>
      <c r="C269" s="124" t="s">
        <v>924</v>
      </c>
      <c r="D269" s="144">
        <f>SUM(D268)</f>
        <v>866.3</v>
      </c>
      <c r="E269" s="144">
        <f>SUM(E268)</f>
        <v>866.3</v>
      </c>
      <c r="F269" s="144">
        <f>SUM(F268)</f>
        <v>866.3</v>
      </c>
      <c r="G269" s="144">
        <f>SUM(G262:G264)</f>
        <v>1240</v>
      </c>
      <c r="H269" s="144">
        <f>SUM(H262:H264)</f>
        <v>410</v>
      </c>
    </row>
    <row r="270" spans="1:8" ht="12" customHeight="1">
      <c r="A270" s="162" t="s">
        <v>310</v>
      </c>
      <c r="B270" s="163"/>
      <c r="C270" s="163"/>
      <c r="D270" s="160">
        <f>SUM(D266,D269,D263,D256,D223,D252,D248,D245,D237,D230,D218,D214,)</f>
        <v>15171.350999999999</v>
      </c>
      <c r="E270" s="160">
        <f>SUM(E266,E269,E263,E256,E223,E252,E248,E245,E237,E230,E218,E214,)</f>
        <v>9518.0210000000006</v>
      </c>
      <c r="F270" s="160">
        <f>SUM(F266,F269,F263,F256,F223,F252,F248,F245,F237,F230,F218,F214,)</f>
        <v>9518.0210000000006</v>
      </c>
      <c r="G270" s="160">
        <f>SUM(G266,G269,G263,G256,G223,G252,G248,G245,G237,G230,G218,G214,)</f>
        <v>3964.56</v>
      </c>
      <c r="H270" s="160">
        <f>SUM(H266,H269,H263,H256,H223,H252,H248,H245,H237,H230,H218,H214,)</f>
        <v>1157.5</v>
      </c>
    </row>
    <row r="271" spans="1:8">
      <c r="A271" s="171" t="s">
        <v>166</v>
      </c>
      <c r="B271" s="172"/>
      <c r="C271" s="172"/>
      <c r="D271" s="173"/>
      <c r="E271" s="173"/>
      <c r="F271" s="174"/>
      <c r="G271" s="174"/>
      <c r="H271" s="174"/>
    </row>
    <row r="272" spans="1:8">
      <c r="A272" s="117"/>
      <c r="B272" s="118" t="s">
        <v>923</v>
      </c>
      <c r="C272" s="118" t="s">
        <v>699</v>
      </c>
      <c r="D272" s="140" t="s">
        <v>700</v>
      </c>
      <c r="E272" s="140" t="s">
        <v>701</v>
      </c>
      <c r="F272" s="141" t="s">
        <v>702</v>
      </c>
      <c r="G272" s="141" t="s">
        <v>703</v>
      </c>
      <c r="H272" s="141" t="s">
        <v>704</v>
      </c>
    </row>
    <row r="273" spans="1:8">
      <c r="A273" s="121">
        <v>1</v>
      </c>
      <c r="B273" s="121" t="s">
        <v>167</v>
      </c>
      <c r="C273" s="121"/>
      <c r="D273" s="142"/>
      <c r="E273" s="142"/>
      <c r="F273" s="142"/>
      <c r="G273" s="142"/>
      <c r="H273" s="142"/>
    </row>
    <row r="274" spans="1:8">
      <c r="A274" s="121" t="s">
        <v>706</v>
      </c>
      <c r="B274" s="121"/>
      <c r="C274" s="121" t="s">
        <v>168</v>
      </c>
      <c r="D274" s="142">
        <v>50</v>
      </c>
      <c r="E274" s="142"/>
      <c r="F274" s="142"/>
      <c r="G274" s="142"/>
      <c r="H274" s="142"/>
    </row>
    <row r="275" spans="1:8">
      <c r="A275" s="124"/>
      <c r="B275" s="124"/>
      <c r="C275" s="124" t="s">
        <v>924</v>
      </c>
      <c r="D275" s="144">
        <f>SUM(D273:D274)</f>
        <v>50</v>
      </c>
      <c r="E275" s="144">
        <f>SUM(E273:E274)</f>
        <v>0</v>
      </c>
      <c r="F275" s="144">
        <f>SUM(F273:F274)</f>
        <v>0</v>
      </c>
      <c r="G275" s="144">
        <f>SUM(G273:G274)</f>
        <v>0</v>
      </c>
      <c r="H275" s="144">
        <f>SUM(H273:H274)</f>
        <v>0</v>
      </c>
    </row>
    <row r="276" spans="1:8">
      <c r="A276" s="121">
        <v>2</v>
      </c>
      <c r="B276" s="121" t="s">
        <v>533</v>
      </c>
      <c r="C276" s="121"/>
      <c r="D276" s="142"/>
      <c r="E276" s="142"/>
      <c r="F276" s="142"/>
      <c r="G276" s="142"/>
      <c r="H276" s="142"/>
    </row>
    <row r="277" spans="1:8">
      <c r="A277" s="121" t="s">
        <v>706</v>
      </c>
      <c r="B277" s="121"/>
      <c r="C277" s="121" t="s">
        <v>211</v>
      </c>
      <c r="D277" s="142">
        <v>4000</v>
      </c>
      <c r="E277" s="142">
        <v>4000</v>
      </c>
      <c r="F277" s="142">
        <v>4000</v>
      </c>
      <c r="G277" s="142">
        <f>1000+1000+1000+1000</f>
        <v>4000</v>
      </c>
      <c r="H277" s="142">
        <f>F277-G277</f>
        <v>0</v>
      </c>
    </row>
    <row r="278" spans="1:8">
      <c r="A278" s="124"/>
      <c r="B278" s="124"/>
      <c r="C278" s="124" t="s">
        <v>924</v>
      </c>
      <c r="D278" s="144">
        <f>SUM(D276:D277)</f>
        <v>4000</v>
      </c>
      <c r="E278" s="144">
        <f>SUM(E276:E277)</f>
        <v>4000</v>
      </c>
      <c r="F278" s="144">
        <f>SUM(F276:F277)</f>
        <v>4000</v>
      </c>
      <c r="G278" s="144">
        <f>SUM(G276:G277)</f>
        <v>4000</v>
      </c>
      <c r="H278" s="144">
        <f>SUM(H276:H277)</f>
        <v>0</v>
      </c>
    </row>
    <row r="279" spans="1:8">
      <c r="A279" s="121">
        <v>3</v>
      </c>
      <c r="B279" s="121" t="s">
        <v>169</v>
      </c>
      <c r="C279" s="121"/>
      <c r="D279" s="142"/>
      <c r="E279" s="142"/>
      <c r="F279" s="142"/>
      <c r="G279" s="142"/>
      <c r="H279" s="142"/>
    </row>
    <row r="280" spans="1:8">
      <c r="A280" s="121" t="s">
        <v>706</v>
      </c>
      <c r="B280" s="121"/>
      <c r="C280" s="121" t="s">
        <v>170</v>
      </c>
      <c r="D280" s="142">
        <v>100</v>
      </c>
      <c r="E280" s="142">
        <v>0</v>
      </c>
      <c r="F280" s="142">
        <v>0</v>
      </c>
      <c r="G280" s="142"/>
      <c r="H280" s="142"/>
    </row>
    <row r="281" spans="1:8">
      <c r="A281" s="121" t="s">
        <v>709</v>
      </c>
      <c r="B281" s="121"/>
      <c r="C281" s="121" t="s">
        <v>228</v>
      </c>
      <c r="D281" s="142">
        <v>42.21</v>
      </c>
      <c r="E281" s="142">
        <v>42.21</v>
      </c>
      <c r="F281" s="142">
        <v>42.21</v>
      </c>
      <c r="G281" s="142"/>
      <c r="H281" s="142"/>
    </row>
    <row r="282" spans="1:8">
      <c r="A282" s="121" t="s">
        <v>710</v>
      </c>
      <c r="B282" s="121"/>
      <c r="C282" s="121" t="s">
        <v>280</v>
      </c>
      <c r="D282" s="142">
        <v>9</v>
      </c>
      <c r="E282" s="142">
        <v>9</v>
      </c>
      <c r="F282" s="142">
        <v>9</v>
      </c>
      <c r="G282" s="142"/>
      <c r="H282" s="142"/>
    </row>
    <row r="283" spans="1:8">
      <c r="A283" s="121" t="s">
        <v>712</v>
      </c>
      <c r="B283" s="121"/>
      <c r="C283" s="121" t="s">
        <v>171</v>
      </c>
      <c r="D283" s="142">
        <v>30</v>
      </c>
      <c r="E283" s="142">
        <v>0</v>
      </c>
      <c r="F283" s="142">
        <v>0</v>
      </c>
      <c r="G283" s="142"/>
      <c r="H283" s="142"/>
    </row>
    <row r="284" spans="1:8">
      <c r="A284" s="124"/>
      <c r="B284" s="124"/>
      <c r="C284" s="124" t="s">
        <v>924</v>
      </c>
      <c r="D284" s="144">
        <f>SUM(D280:D283)</f>
        <v>181.21</v>
      </c>
      <c r="E284" s="144">
        <f>SUM(E279:E283)</f>
        <v>51.21</v>
      </c>
      <c r="F284" s="144">
        <f>SUM(F279:F283)</f>
        <v>51.21</v>
      </c>
      <c r="G284" s="144">
        <f>SUM(G279:G283)</f>
        <v>0</v>
      </c>
      <c r="H284" s="144">
        <f>SUM(H279:H283)</f>
        <v>0</v>
      </c>
    </row>
    <row r="285" spans="1:8">
      <c r="A285" s="121">
        <v>4</v>
      </c>
      <c r="B285" s="121" t="s">
        <v>896</v>
      </c>
      <c r="C285" s="121"/>
      <c r="D285" s="142"/>
      <c r="E285" s="142"/>
      <c r="F285" s="142"/>
      <c r="G285" s="142"/>
      <c r="H285" s="142"/>
    </row>
    <row r="286" spans="1:8">
      <c r="A286" s="121" t="s">
        <v>706</v>
      </c>
      <c r="B286" s="121"/>
      <c r="C286" s="121" t="s">
        <v>897</v>
      </c>
      <c r="D286" s="142">
        <v>60</v>
      </c>
      <c r="E286" s="142">
        <v>60</v>
      </c>
      <c r="F286" s="142">
        <v>60</v>
      </c>
      <c r="G286" s="142">
        <f>60</f>
        <v>60</v>
      </c>
      <c r="H286" s="142"/>
    </row>
    <row r="287" spans="1:8">
      <c r="A287" s="121" t="s">
        <v>709</v>
      </c>
      <c r="B287" s="121"/>
      <c r="C287" s="121" t="s">
        <v>172</v>
      </c>
      <c r="D287" s="142">
        <v>600</v>
      </c>
      <c r="E287" s="142">
        <v>600</v>
      </c>
      <c r="F287" s="142">
        <v>600</v>
      </c>
      <c r="G287" s="142"/>
      <c r="H287" s="142"/>
    </row>
    <row r="288" spans="1:8">
      <c r="A288" s="121" t="s">
        <v>710</v>
      </c>
      <c r="B288" s="121"/>
      <c r="C288" s="121" t="s">
        <v>361</v>
      </c>
      <c r="D288" s="142">
        <v>9</v>
      </c>
      <c r="E288" s="142">
        <v>9</v>
      </c>
      <c r="F288" s="142">
        <v>9</v>
      </c>
      <c r="G288" s="142"/>
      <c r="H288" s="142"/>
    </row>
    <row r="289" spans="1:8">
      <c r="A289" s="124"/>
      <c r="B289" s="124"/>
      <c r="C289" s="124" t="s">
        <v>924</v>
      </c>
      <c r="D289" s="144">
        <f>SUM(D286:D288)</f>
        <v>669</v>
      </c>
      <c r="E289" s="144">
        <f>SUM(E285:E288)</f>
        <v>669</v>
      </c>
      <c r="F289" s="144">
        <f>SUM(F285:F287)</f>
        <v>660</v>
      </c>
      <c r="G289" s="144">
        <f>SUM(G285:G287)</f>
        <v>60</v>
      </c>
      <c r="H289" s="144">
        <f>SUM(H285:H287)</f>
        <v>0</v>
      </c>
    </row>
    <row r="290" spans="1:8">
      <c r="A290" s="121">
        <v>5</v>
      </c>
      <c r="B290" s="121" t="s">
        <v>936</v>
      </c>
      <c r="C290" s="121"/>
      <c r="D290" s="142"/>
      <c r="E290" s="142"/>
      <c r="F290" s="142"/>
      <c r="G290" s="142"/>
      <c r="H290" s="142"/>
    </row>
    <row r="291" spans="1:8">
      <c r="A291" s="121" t="s">
        <v>706</v>
      </c>
      <c r="B291" s="121"/>
      <c r="C291" s="121" t="s">
        <v>173</v>
      </c>
      <c r="D291" s="142">
        <v>3000</v>
      </c>
      <c r="E291" s="142">
        <v>3000</v>
      </c>
      <c r="F291" s="142">
        <v>3000</v>
      </c>
      <c r="G291" s="142"/>
      <c r="H291" s="142"/>
    </row>
    <row r="292" spans="1:8">
      <c r="A292" s="121" t="s">
        <v>709</v>
      </c>
      <c r="B292" s="121"/>
      <c r="C292" s="121" t="s">
        <v>214</v>
      </c>
      <c r="D292" s="142">
        <f>(3000*0.0765)</f>
        <v>229.5</v>
      </c>
      <c r="E292" s="142">
        <f>(3000*0.0765)</f>
        <v>229.5</v>
      </c>
      <c r="F292" s="142">
        <f>(3000*0.0765)</f>
        <v>229.5</v>
      </c>
      <c r="G292" s="142"/>
      <c r="H292" s="142"/>
    </row>
    <row r="293" spans="1:8">
      <c r="A293" s="124"/>
      <c r="B293" s="124"/>
      <c r="C293" s="124" t="s">
        <v>924</v>
      </c>
      <c r="D293" s="144">
        <f>SUM(D290:D292)</f>
        <v>3229.5</v>
      </c>
      <c r="E293" s="144">
        <f>SUM(E290:E292)</f>
        <v>3229.5</v>
      </c>
      <c r="F293" s="144">
        <f>SUM(F290:F291)</f>
        <v>3000</v>
      </c>
      <c r="G293" s="144">
        <f>SUM(G290:G291)</f>
        <v>0</v>
      </c>
      <c r="H293" s="144">
        <f>SUM(H290:H291)</f>
        <v>0</v>
      </c>
    </row>
    <row r="294" spans="1:8">
      <c r="A294" s="121">
        <v>6</v>
      </c>
      <c r="B294" s="121" t="s">
        <v>677</v>
      </c>
      <c r="C294" s="121"/>
      <c r="D294" s="142"/>
      <c r="E294" s="142"/>
      <c r="F294" s="142"/>
      <c r="G294" s="142"/>
      <c r="H294" s="142"/>
    </row>
    <row r="295" spans="1:8">
      <c r="A295" s="121" t="s">
        <v>706</v>
      </c>
      <c r="B295" s="121"/>
      <c r="C295" s="121" t="s">
        <v>174</v>
      </c>
      <c r="D295" s="142">
        <v>46.76</v>
      </c>
      <c r="E295" s="142">
        <v>46.76</v>
      </c>
      <c r="F295" s="142">
        <v>46.76</v>
      </c>
      <c r="G295" s="142">
        <f>46.76</f>
        <v>46.76</v>
      </c>
      <c r="H295" s="142">
        <v>0</v>
      </c>
    </row>
    <row r="296" spans="1:8">
      <c r="A296" s="124"/>
      <c r="B296" s="124"/>
      <c r="C296" s="124" t="s">
        <v>924</v>
      </c>
      <c r="D296" s="144">
        <f>SUM(D294:D295)</f>
        <v>46.76</v>
      </c>
      <c r="E296" s="144">
        <f>SUM(E294:E295)</f>
        <v>46.76</v>
      </c>
      <c r="F296" s="144">
        <f>SUM(F294:F295)</f>
        <v>46.76</v>
      </c>
      <c r="G296" s="144">
        <f>SUM(G294:G295)</f>
        <v>46.76</v>
      </c>
      <c r="H296" s="144">
        <f>SUM(H294:H295)</f>
        <v>0</v>
      </c>
    </row>
    <row r="297" spans="1:8">
      <c r="A297" s="121">
        <v>7</v>
      </c>
      <c r="B297" s="121" t="s">
        <v>175</v>
      </c>
      <c r="C297" s="121"/>
      <c r="D297" s="142"/>
      <c r="E297" s="142"/>
      <c r="F297" s="142"/>
      <c r="G297" s="142"/>
      <c r="H297" s="142"/>
    </row>
    <row r="298" spans="1:8">
      <c r="A298" s="121" t="s">
        <v>706</v>
      </c>
      <c r="B298" s="121"/>
      <c r="C298" s="121" t="s">
        <v>460</v>
      </c>
      <c r="D298" s="142">
        <v>10</v>
      </c>
      <c r="E298" s="142"/>
      <c r="F298" s="142"/>
      <c r="G298" s="142"/>
      <c r="H298" s="142"/>
    </row>
    <row r="299" spans="1:8">
      <c r="A299" s="121" t="s">
        <v>709</v>
      </c>
      <c r="B299" s="121"/>
      <c r="C299" s="121" t="s">
        <v>176</v>
      </c>
      <c r="D299" s="142">
        <v>5</v>
      </c>
      <c r="E299" s="142"/>
      <c r="F299" s="142"/>
      <c r="G299" s="142"/>
      <c r="H299" s="142"/>
    </row>
    <row r="300" spans="1:8">
      <c r="A300" s="124"/>
      <c r="B300" s="124"/>
      <c r="C300" s="124" t="s">
        <v>924</v>
      </c>
      <c r="D300" s="144">
        <f>SUM(D298:D299)</f>
        <v>15</v>
      </c>
      <c r="E300" s="144">
        <f>SUM(E297:E299)</f>
        <v>0</v>
      </c>
      <c r="F300" s="144">
        <f>SUM(F297:F299)</f>
        <v>0</v>
      </c>
      <c r="G300" s="144">
        <f>SUM(G297:G299)</f>
        <v>0</v>
      </c>
      <c r="H300" s="144">
        <f>SUM(H297:H299)</f>
        <v>0</v>
      </c>
    </row>
    <row r="301" spans="1:8">
      <c r="A301" s="121">
        <v>8</v>
      </c>
      <c r="B301" s="121" t="s">
        <v>177</v>
      </c>
      <c r="C301" s="121"/>
      <c r="D301" s="142"/>
      <c r="E301" s="142"/>
      <c r="F301" s="142"/>
      <c r="G301" s="142"/>
      <c r="H301" s="142"/>
    </row>
    <row r="302" spans="1:8" s="176" customFormat="1">
      <c r="A302" s="121" t="s">
        <v>706</v>
      </c>
      <c r="B302" s="121"/>
      <c r="C302" s="121" t="s">
        <v>215</v>
      </c>
      <c r="D302" s="142">
        <v>36</v>
      </c>
      <c r="E302" s="142">
        <v>0</v>
      </c>
      <c r="F302" s="142">
        <v>0</v>
      </c>
      <c r="G302" s="142"/>
      <c r="H302" s="142"/>
    </row>
    <row r="303" spans="1:8" s="176" customFormat="1">
      <c r="A303" s="121" t="s">
        <v>709</v>
      </c>
      <c r="B303" s="121"/>
      <c r="C303" s="121" t="s">
        <v>216</v>
      </c>
      <c r="D303" s="142">
        <v>65</v>
      </c>
      <c r="E303" s="142">
        <v>0</v>
      </c>
      <c r="F303" s="142">
        <v>0</v>
      </c>
      <c r="G303" s="142"/>
      <c r="H303" s="142"/>
    </row>
    <row r="304" spans="1:8" s="177" customFormat="1">
      <c r="A304" s="121" t="s">
        <v>710</v>
      </c>
      <c r="B304" s="121"/>
      <c r="C304" s="121" t="s">
        <v>217</v>
      </c>
      <c r="D304" s="142">
        <v>100</v>
      </c>
      <c r="E304" s="142">
        <v>0</v>
      </c>
      <c r="F304" s="142">
        <v>0</v>
      </c>
      <c r="G304" s="142"/>
      <c r="H304" s="142"/>
    </row>
    <row r="305" spans="1:8" s="177" customFormat="1">
      <c r="A305" s="121" t="s">
        <v>706</v>
      </c>
      <c r="B305" s="121"/>
      <c r="C305" s="121" t="s">
        <v>218</v>
      </c>
      <c r="D305" s="142">
        <v>30</v>
      </c>
      <c r="E305" s="142">
        <v>0</v>
      </c>
      <c r="F305" s="142">
        <v>0</v>
      </c>
      <c r="G305" s="142"/>
      <c r="H305" s="142"/>
    </row>
    <row r="306" spans="1:8" s="177" customFormat="1">
      <c r="A306" s="121" t="s">
        <v>712</v>
      </c>
      <c r="B306" s="121"/>
      <c r="C306" s="121" t="s">
        <v>516</v>
      </c>
      <c r="D306" s="142">
        <v>10</v>
      </c>
      <c r="E306" s="142">
        <v>10</v>
      </c>
      <c r="F306" s="142">
        <v>10</v>
      </c>
      <c r="G306" s="142"/>
      <c r="H306" s="142"/>
    </row>
    <row r="307" spans="1:8" s="177" customFormat="1">
      <c r="A307" s="121" t="s">
        <v>713</v>
      </c>
      <c r="B307" s="121"/>
      <c r="C307" s="121" t="s">
        <v>219</v>
      </c>
      <c r="D307" s="142">
        <v>35</v>
      </c>
      <c r="E307" s="142">
        <v>0</v>
      </c>
      <c r="F307" s="142">
        <v>0</v>
      </c>
      <c r="G307" s="142"/>
      <c r="H307" s="142"/>
    </row>
    <row r="308" spans="1:8" s="177" customFormat="1">
      <c r="A308" s="121" t="s">
        <v>714</v>
      </c>
      <c r="B308" s="121"/>
      <c r="C308" s="121" t="s">
        <v>220</v>
      </c>
      <c r="D308" s="142">
        <v>65</v>
      </c>
      <c r="E308" s="142">
        <v>0</v>
      </c>
      <c r="F308" s="142">
        <v>0</v>
      </c>
      <c r="G308" s="142"/>
      <c r="H308" s="142"/>
    </row>
    <row r="309" spans="1:8" s="177" customFormat="1">
      <c r="A309" s="121" t="s">
        <v>715</v>
      </c>
      <c r="B309" s="121"/>
      <c r="C309" s="121" t="s">
        <v>516</v>
      </c>
      <c r="D309" s="142">
        <v>10</v>
      </c>
      <c r="E309" s="142">
        <v>10</v>
      </c>
      <c r="F309" s="142">
        <v>10</v>
      </c>
      <c r="G309" s="142"/>
      <c r="H309" s="142"/>
    </row>
    <row r="310" spans="1:8" s="177" customFormat="1">
      <c r="A310" s="121" t="s">
        <v>716</v>
      </c>
      <c r="B310" s="121"/>
      <c r="C310" s="121" t="s">
        <v>221</v>
      </c>
      <c r="D310" s="142">
        <v>30</v>
      </c>
      <c r="E310" s="142">
        <v>30</v>
      </c>
      <c r="F310" s="142">
        <v>30</v>
      </c>
      <c r="G310" s="142"/>
      <c r="H310" s="142"/>
    </row>
    <row r="311" spans="1:8" s="177" customFormat="1">
      <c r="A311" s="121" t="s">
        <v>911</v>
      </c>
      <c r="B311" s="121"/>
      <c r="C311" s="121" t="s">
        <v>222</v>
      </c>
      <c r="D311" s="142">
        <v>20</v>
      </c>
      <c r="E311" s="142">
        <v>20</v>
      </c>
      <c r="F311" s="142">
        <v>20</v>
      </c>
      <c r="G311" s="142"/>
      <c r="H311" s="142"/>
    </row>
    <row r="312" spans="1:8" s="177" customFormat="1">
      <c r="A312" s="121" t="s">
        <v>501</v>
      </c>
      <c r="B312" s="121"/>
      <c r="C312" s="121" t="s">
        <v>223</v>
      </c>
      <c r="D312" s="142">
        <v>30</v>
      </c>
      <c r="E312" s="142">
        <v>30</v>
      </c>
      <c r="F312" s="142">
        <v>30</v>
      </c>
      <c r="G312" s="142"/>
      <c r="H312" s="142"/>
    </row>
    <row r="313" spans="1:8" s="177" customFormat="1">
      <c r="A313" s="121" t="s">
        <v>857</v>
      </c>
      <c r="B313" s="121"/>
      <c r="C313" s="121" t="s">
        <v>224</v>
      </c>
      <c r="D313" s="142">
        <v>10</v>
      </c>
      <c r="E313" s="142">
        <v>10</v>
      </c>
      <c r="F313" s="142">
        <v>10</v>
      </c>
      <c r="G313" s="142"/>
      <c r="H313" s="142"/>
    </row>
    <row r="314" spans="1:8" s="177" customFormat="1">
      <c r="A314" s="121" t="s">
        <v>858</v>
      </c>
      <c r="B314" s="121"/>
      <c r="C314" s="121" t="s">
        <v>225</v>
      </c>
      <c r="D314" s="142">
        <v>10</v>
      </c>
      <c r="E314" s="142">
        <v>10</v>
      </c>
      <c r="F314" s="142">
        <v>10</v>
      </c>
      <c r="G314" s="142"/>
      <c r="H314" s="142"/>
    </row>
    <row r="315" spans="1:8" s="177" customFormat="1">
      <c r="A315" s="121" t="s">
        <v>859</v>
      </c>
      <c r="B315" s="121"/>
      <c r="C315" s="121" t="s">
        <v>226</v>
      </c>
      <c r="D315" s="142">
        <v>20</v>
      </c>
      <c r="E315" s="142">
        <v>20</v>
      </c>
      <c r="F315" s="142">
        <v>20</v>
      </c>
      <c r="G315" s="142"/>
      <c r="H315" s="142"/>
    </row>
    <row r="316" spans="1:8">
      <c r="A316" s="124"/>
      <c r="B316" s="124"/>
      <c r="C316" s="124" t="s">
        <v>924</v>
      </c>
      <c r="D316" s="144">
        <f>D302+D303+D304+D305+D306+D307+D308+D309+D310+D311+D312+D313+D314+D315</f>
        <v>471</v>
      </c>
      <c r="E316" s="144">
        <f>E302+E303+E304+E305+E306+E307+E308+E309+E310+E311+E312+E313+E314+E315</f>
        <v>140</v>
      </c>
      <c r="F316" s="144">
        <f>F302+F303+F304+F305+F306+F307+F308+F309+F310+F311+F312+F313+F314+F315</f>
        <v>140</v>
      </c>
      <c r="G316" s="144">
        <f>SUM(G301:G301)</f>
        <v>0</v>
      </c>
      <c r="H316" s="144">
        <f>SUM(H301:H301)</f>
        <v>0</v>
      </c>
    </row>
    <row r="317" spans="1:8">
      <c r="A317" s="121">
        <v>9</v>
      </c>
      <c r="B317" s="121" t="s">
        <v>647</v>
      </c>
      <c r="C317" s="121"/>
      <c r="D317" s="142"/>
      <c r="E317" s="142"/>
      <c r="F317" s="142"/>
      <c r="G317" s="142"/>
      <c r="H317" s="142"/>
    </row>
    <row r="318" spans="1:8">
      <c r="A318" s="121" t="s">
        <v>706</v>
      </c>
      <c r="B318" s="121"/>
      <c r="C318" s="121" t="s">
        <v>178</v>
      </c>
      <c r="D318" s="142">
        <v>355</v>
      </c>
      <c r="E318" s="142">
        <v>355</v>
      </c>
      <c r="F318" s="142">
        <v>355</v>
      </c>
      <c r="G318" s="142">
        <f>355</f>
        <v>355</v>
      </c>
      <c r="H318" s="142"/>
    </row>
    <row r="319" spans="1:8">
      <c r="A319" s="121" t="s">
        <v>709</v>
      </c>
      <c r="B319" s="121"/>
      <c r="C319" s="121" t="s">
        <v>179</v>
      </c>
      <c r="D319" s="142">
        <v>192</v>
      </c>
      <c r="E319" s="142">
        <v>192</v>
      </c>
      <c r="F319" s="142">
        <v>192</v>
      </c>
      <c r="G319" s="142"/>
      <c r="H319" s="142"/>
    </row>
    <row r="320" spans="1:8">
      <c r="A320" s="124"/>
      <c r="B320" s="124"/>
      <c r="C320" s="124" t="s">
        <v>924</v>
      </c>
      <c r="D320" s="144">
        <f>SUM(D318:D319)</f>
        <v>547</v>
      </c>
      <c r="E320" s="144">
        <f>SUM(E317:E319)</f>
        <v>547</v>
      </c>
      <c r="F320" s="144">
        <f>SUM(F317:F319)</f>
        <v>547</v>
      </c>
      <c r="G320" s="144">
        <f>SUM(G317:G319)</f>
        <v>355</v>
      </c>
      <c r="H320" s="144">
        <f>SUM(H317:H319)</f>
        <v>0</v>
      </c>
    </row>
    <row r="321" spans="1:9">
      <c r="A321" s="121">
        <v>10</v>
      </c>
      <c r="B321" s="121" t="s">
        <v>180</v>
      </c>
      <c r="C321" s="121"/>
      <c r="D321" s="142"/>
      <c r="E321" s="142"/>
      <c r="F321" s="142"/>
      <c r="G321" s="142"/>
      <c r="H321" s="142"/>
    </row>
    <row r="322" spans="1:9">
      <c r="A322" s="121" t="s">
        <v>706</v>
      </c>
      <c r="B322" s="121"/>
      <c r="C322" s="121" t="s">
        <v>181</v>
      </c>
      <c r="D322" s="142">
        <v>100</v>
      </c>
      <c r="E322" s="142">
        <v>100</v>
      </c>
      <c r="F322" s="142">
        <v>100</v>
      </c>
      <c r="G322" s="142"/>
      <c r="H322" s="142"/>
    </row>
    <row r="323" spans="1:9">
      <c r="A323" s="121" t="s">
        <v>709</v>
      </c>
      <c r="B323" s="121"/>
      <c r="C323" s="121" t="s">
        <v>711</v>
      </c>
      <c r="D323" s="142">
        <v>80</v>
      </c>
      <c r="E323" s="142">
        <v>80</v>
      </c>
      <c r="F323" s="142">
        <v>80</v>
      </c>
      <c r="G323" s="142"/>
      <c r="H323" s="142"/>
      <c r="I323" t="s">
        <v>227</v>
      </c>
    </row>
    <row r="324" spans="1:9">
      <c r="A324" s="124"/>
      <c r="B324" s="124"/>
      <c r="C324" s="124" t="s">
        <v>924</v>
      </c>
      <c r="D324" s="144">
        <f>SUM(D322:D323)</f>
        <v>180</v>
      </c>
      <c r="E324" s="144">
        <f>SUM(E321:E323)</f>
        <v>180</v>
      </c>
      <c r="F324" s="144">
        <f>SUM(F321:F323)</f>
        <v>180</v>
      </c>
      <c r="G324" s="144">
        <f>SUM(G321:G323)</f>
        <v>0</v>
      </c>
      <c r="H324" s="144">
        <f>SUM(H321:H323)</f>
        <v>0</v>
      </c>
    </row>
    <row r="325" spans="1:9">
      <c r="A325" s="121">
        <v>11</v>
      </c>
      <c r="B325" s="121" t="s">
        <v>182</v>
      </c>
      <c r="C325" s="121"/>
      <c r="D325" s="142"/>
      <c r="E325" s="142"/>
      <c r="F325" s="142"/>
      <c r="G325" s="142"/>
      <c r="H325" s="142"/>
    </row>
    <row r="326" spans="1:9">
      <c r="A326" s="121" t="s">
        <v>706</v>
      </c>
      <c r="B326" s="121"/>
      <c r="C326" s="121" t="s">
        <v>183</v>
      </c>
      <c r="D326" s="142">
        <v>866.3</v>
      </c>
      <c r="E326" s="142"/>
      <c r="F326" s="142"/>
      <c r="G326" s="142"/>
      <c r="H326" s="142"/>
    </row>
    <row r="327" spans="1:9">
      <c r="A327" s="124"/>
      <c r="B327" s="124"/>
      <c r="C327" s="124" t="s">
        <v>924</v>
      </c>
      <c r="D327" s="144">
        <f>SUM(D325:D326)</f>
        <v>866.3</v>
      </c>
      <c r="E327" s="144">
        <f>SUM(E325:E326)</f>
        <v>0</v>
      </c>
      <c r="F327" s="144">
        <f>SUM(F325:F326)</f>
        <v>0</v>
      </c>
      <c r="G327" s="144">
        <f>SUM(G325:G326)</f>
        <v>0</v>
      </c>
      <c r="H327" s="144">
        <f>SUM(H325:H326)</f>
        <v>0</v>
      </c>
    </row>
    <row r="328" spans="1:9">
      <c r="A328" s="121">
        <v>12</v>
      </c>
      <c r="B328" s="121" t="s">
        <v>932</v>
      </c>
      <c r="C328" s="121"/>
      <c r="D328" s="142"/>
      <c r="E328" s="142"/>
      <c r="F328" s="142"/>
      <c r="G328" s="142"/>
      <c r="H328" s="142"/>
    </row>
    <row r="329" spans="1:9" s="139" customFormat="1">
      <c r="A329" s="121" t="s">
        <v>706</v>
      </c>
      <c r="B329" s="121"/>
      <c r="C329" s="121" t="s">
        <v>184</v>
      </c>
      <c r="D329" s="142">
        <v>1365</v>
      </c>
      <c r="E329" s="142">
        <v>1365</v>
      </c>
      <c r="F329" s="142">
        <v>1365</v>
      </c>
      <c r="G329" s="142">
        <f>1365</f>
        <v>1365</v>
      </c>
      <c r="H329" s="142">
        <f>0</f>
        <v>0</v>
      </c>
    </row>
    <row r="330" spans="1:9" s="139" customFormat="1">
      <c r="A330" s="121" t="s">
        <v>709</v>
      </c>
      <c r="B330" s="121"/>
      <c r="C330" s="121" t="s">
        <v>185</v>
      </c>
      <c r="D330" s="142">
        <v>25</v>
      </c>
      <c r="E330" s="142">
        <v>25</v>
      </c>
      <c r="F330" s="142">
        <v>25</v>
      </c>
      <c r="G330" s="142"/>
      <c r="H330" s="142"/>
    </row>
    <row r="331" spans="1:9" s="139" customFormat="1">
      <c r="A331" s="121" t="s">
        <v>710</v>
      </c>
      <c r="B331" s="121"/>
      <c r="C331" s="121" t="s">
        <v>186</v>
      </c>
      <c r="D331" s="142">
        <v>9</v>
      </c>
      <c r="E331" s="142">
        <v>9</v>
      </c>
      <c r="F331" s="142">
        <v>9</v>
      </c>
      <c r="G331" s="142"/>
      <c r="H331" s="142"/>
    </row>
    <row r="332" spans="1:9" s="139" customFormat="1">
      <c r="A332" s="121" t="s">
        <v>712</v>
      </c>
      <c r="B332" s="121"/>
      <c r="C332" s="121" t="s">
        <v>795</v>
      </c>
      <c r="D332" s="142">
        <v>50</v>
      </c>
      <c r="E332" s="142">
        <v>50</v>
      </c>
      <c r="F332" s="142">
        <v>50</v>
      </c>
      <c r="G332" s="142"/>
      <c r="H332" s="142"/>
    </row>
    <row r="333" spans="1:9" s="139" customFormat="1">
      <c r="A333" s="121" t="s">
        <v>713</v>
      </c>
      <c r="B333" s="121"/>
      <c r="C333" s="121" t="s">
        <v>187</v>
      </c>
      <c r="D333" s="142">
        <v>9</v>
      </c>
      <c r="E333" s="142">
        <v>9</v>
      </c>
      <c r="F333" s="142">
        <v>9</v>
      </c>
      <c r="G333" s="142"/>
      <c r="H333" s="142"/>
    </row>
    <row r="334" spans="1:9" s="139" customFormat="1">
      <c r="A334" s="121" t="s">
        <v>714</v>
      </c>
      <c r="B334" s="121"/>
      <c r="C334" s="121" t="s">
        <v>188</v>
      </c>
      <c r="D334" s="142">
        <v>9</v>
      </c>
      <c r="E334" s="142">
        <v>9</v>
      </c>
      <c r="F334" s="142">
        <v>9</v>
      </c>
      <c r="G334" s="142"/>
      <c r="H334" s="142"/>
    </row>
    <row r="335" spans="1:9" s="139" customFormat="1">
      <c r="A335" s="121" t="s">
        <v>715</v>
      </c>
      <c r="B335" s="121"/>
      <c r="C335" s="121" t="s">
        <v>189</v>
      </c>
      <c r="D335" s="142">
        <v>20</v>
      </c>
      <c r="E335" s="142">
        <v>20</v>
      </c>
      <c r="F335" s="142">
        <v>20</v>
      </c>
      <c r="G335" s="142">
        <f>20</f>
        <v>20</v>
      </c>
      <c r="H335" s="142"/>
      <c r="I335" s="139" t="s">
        <v>315</v>
      </c>
    </row>
    <row r="336" spans="1:9" s="139" customFormat="1">
      <c r="A336" s="121" t="s">
        <v>716</v>
      </c>
      <c r="B336" s="121"/>
      <c r="C336" s="121" t="s">
        <v>190</v>
      </c>
      <c r="D336" s="142">
        <v>180</v>
      </c>
      <c r="E336" s="142">
        <v>180</v>
      </c>
      <c r="F336" s="142">
        <v>180</v>
      </c>
      <c r="G336" s="142">
        <f>64.59</f>
        <v>64.59</v>
      </c>
      <c r="H336" s="142">
        <f>F336-G336</f>
        <v>115.41</v>
      </c>
    </row>
    <row r="337" spans="1:8" s="139" customFormat="1">
      <c r="A337" s="121" t="s">
        <v>911</v>
      </c>
      <c r="B337" s="121"/>
      <c r="C337" s="121" t="s">
        <v>191</v>
      </c>
      <c r="D337" s="142">
        <v>300</v>
      </c>
      <c r="E337" s="142">
        <v>300</v>
      </c>
      <c r="F337" s="142">
        <v>300</v>
      </c>
      <c r="G337" s="142">
        <f>300</f>
        <v>300</v>
      </c>
      <c r="H337" s="142">
        <v>0</v>
      </c>
    </row>
    <row r="338" spans="1:8" s="139" customFormat="1">
      <c r="A338" s="121" t="s">
        <v>501</v>
      </c>
      <c r="B338" s="121"/>
      <c r="C338" s="121" t="s">
        <v>192</v>
      </c>
      <c r="D338" s="142">
        <v>12.5</v>
      </c>
      <c r="E338" s="142">
        <v>12.5</v>
      </c>
      <c r="F338" s="142">
        <v>12.5</v>
      </c>
      <c r="G338" s="142"/>
      <c r="H338" s="142"/>
    </row>
    <row r="339" spans="1:8" s="139" customFormat="1">
      <c r="A339" s="121" t="s">
        <v>857</v>
      </c>
      <c r="B339" s="121"/>
      <c r="C339" s="121" t="s">
        <v>193</v>
      </c>
      <c r="D339" s="142">
        <v>50</v>
      </c>
      <c r="E339" s="142">
        <v>50</v>
      </c>
      <c r="F339" s="142">
        <v>50</v>
      </c>
      <c r="G339" s="142">
        <f>50</f>
        <v>50</v>
      </c>
      <c r="H339" s="142">
        <f>0</f>
        <v>0</v>
      </c>
    </row>
    <row r="340" spans="1:8" s="139" customFormat="1">
      <c r="A340" s="121" t="s">
        <v>858</v>
      </c>
      <c r="B340" s="121"/>
      <c r="C340" s="121" t="s">
        <v>194</v>
      </c>
      <c r="D340" s="142">
        <v>150</v>
      </c>
      <c r="E340" s="142">
        <v>150</v>
      </c>
      <c r="F340" s="142">
        <v>150</v>
      </c>
      <c r="G340" s="142">
        <f>132</f>
        <v>132</v>
      </c>
      <c r="H340" s="142">
        <f>F340-G340</f>
        <v>18</v>
      </c>
    </row>
    <row r="341" spans="1:8" s="139" customFormat="1">
      <c r="A341" s="121" t="s">
        <v>859</v>
      </c>
      <c r="B341" s="121"/>
      <c r="C341" s="121" t="s">
        <v>195</v>
      </c>
      <c r="D341" s="142">
        <v>300</v>
      </c>
      <c r="E341" s="142">
        <v>300</v>
      </c>
      <c r="F341" s="142">
        <v>300</v>
      </c>
      <c r="G341" s="142"/>
      <c r="H341" s="142"/>
    </row>
    <row r="342" spans="1:8" s="139" customFormat="1">
      <c r="A342" s="121" t="s">
        <v>860</v>
      </c>
      <c r="B342" s="121"/>
      <c r="C342" s="121" t="s">
        <v>196</v>
      </c>
      <c r="D342" s="142">
        <v>12.5</v>
      </c>
      <c r="E342" s="142">
        <v>12.5</v>
      </c>
      <c r="F342" s="142">
        <v>12.5</v>
      </c>
      <c r="G342" s="142"/>
      <c r="H342" s="142"/>
    </row>
    <row r="343" spans="1:8" s="139" customFormat="1">
      <c r="A343" s="121" t="s">
        <v>861</v>
      </c>
      <c r="B343" s="121"/>
      <c r="C343" s="121" t="s">
        <v>197</v>
      </c>
      <c r="D343" s="142">
        <v>50</v>
      </c>
      <c r="E343" s="142">
        <v>50</v>
      </c>
      <c r="F343" s="142">
        <v>50</v>
      </c>
      <c r="G343" s="142"/>
      <c r="H343" s="142"/>
    </row>
    <row r="344" spans="1:8" s="139" customFormat="1">
      <c r="A344" s="121" t="s">
        <v>198</v>
      </c>
      <c r="B344" s="121"/>
      <c r="C344" s="121" t="s">
        <v>199</v>
      </c>
      <c r="D344" s="142">
        <v>150</v>
      </c>
      <c r="E344" s="142">
        <v>150</v>
      </c>
      <c r="F344" s="142">
        <v>150</v>
      </c>
      <c r="G344" s="142"/>
      <c r="H344" s="142"/>
    </row>
    <row r="345" spans="1:8" s="139" customFormat="1">
      <c r="A345" s="121" t="s">
        <v>200</v>
      </c>
      <c r="B345" s="121"/>
      <c r="C345" s="121" t="s">
        <v>201</v>
      </c>
      <c r="D345" s="142">
        <v>9</v>
      </c>
      <c r="E345" s="142">
        <v>9</v>
      </c>
      <c r="F345" s="142">
        <v>9</v>
      </c>
      <c r="G345" s="142"/>
      <c r="H345" s="142"/>
    </row>
    <row r="346" spans="1:8" s="139" customFormat="1">
      <c r="A346" s="121" t="s">
        <v>202</v>
      </c>
      <c r="B346" s="121"/>
      <c r="C346" s="121" t="s">
        <v>203</v>
      </c>
      <c r="D346" s="142">
        <v>50</v>
      </c>
      <c r="E346" s="142">
        <v>50</v>
      </c>
      <c r="F346" s="142">
        <v>50</v>
      </c>
      <c r="G346" s="142"/>
      <c r="H346" s="142"/>
    </row>
    <row r="347" spans="1:8" s="139" customFormat="1">
      <c r="A347" s="124"/>
      <c r="B347" s="124"/>
      <c r="C347" s="124" t="s">
        <v>924</v>
      </c>
      <c r="D347" s="144">
        <f>SUM(D329:D346)</f>
        <v>2751</v>
      </c>
      <c r="E347" s="144">
        <f>SUM(E328:E346)</f>
        <v>2751</v>
      </c>
      <c r="F347" s="144">
        <f>SUM(F328:F346)</f>
        <v>2751</v>
      </c>
      <c r="G347" s="144">
        <f>SUM(G328:G331)</f>
        <v>1365</v>
      </c>
      <c r="H347" s="144">
        <f>SUM(H328:H331)</f>
        <v>0</v>
      </c>
    </row>
    <row r="348" spans="1:8" s="139" customFormat="1">
      <c r="A348" s="121">
        <v>13</v>
      </c>
      <c r="B348" s="121" t="s">
        <v>298</v>
      </c>
      <c r="C348" s="121"/>
      <c r="D348" s="142"/>
      <c r="E348" s="142"/>
      <c r="F348" s="142"/>
      <c r="G348" s="142"/>
      <c r="H348" s="142"/>
    </row>
    <row r="349" spans="1:8">
      <c r="A349" s="121" t="s">
        <v>706</v>
      </c>
      <c r="B349" s="121"/>
      <c r="C349" s="121" t="s">
        <v>204</v>
      </c>
      <c r="D349" s="142">
        <v>375</v>
      </c>
      <c r="E349" s="142">
        <v>375</v>
      </c>
      <c r="F349" s="142">
        <v>375</v>
      </c>
      <c r="G349" s="142">
        <f>375</f>
        <v>375</v>
      </c>
      <c r="H349" s="142">
        <v>0</v>
      </c>
    </row>
    <row r="350" spans="1:8">
      <c r="A350" s="121" t="s">
        <v>709</v>
      </c>
      <c r="B350" s="121"/>
      <c r="C350" s="121" t="s">
        <v>206</v>
      </c>
      <c r="D350" s="142">
        <v>700</v>
      </c>
      <c r="E350" s="142">
        <v>700</v>
      </c>
      <c r="F350" s="142">
        <v>700</v>
      </c>
      <c r="G350" s="142"/>
      <c r="H350" s="142"/>
    </row>
    <row r="351" spans="1:8">
      <c r="A351" s="121" t="s">
        <v>710</v>
      </c>
      <c r="B351" s="121"/>
      <c r="C351" s="121" t="s">
        <v>207</v>
      </c>
      <c r="D351" s="142">
        <v>200</v>
      </c>
      <c r="E351" s="142">
        <v>0</v>
      </c>
      <c r="F351" s="142">
        <v>0</v>
      </c>
      <c r="G351" s="142"/>
      <c r="H351" s="142"/>
    </row>
    <row r="352" spans="1:8">
      <c r="A352" s="121" t="s">
        <v>712</v>
      </c>
      <c r="B352" s="121"/>
      <c r="C352" s="121" t="s">
        <v>208</v>
      </c>
      <c r="D352" s="142">
        <v>70</v>
      </c>
      <c r="E352" s="142">
        <v>0</v>
      </c>
      <c r="F352" s="142">
        <v>0</v>
      </c>
      <c r="G352" s="142"/>
      <c r="H352" s="142"/>
    </row>
    <row r="353" spans="1:8">
      <c r="A353" s="121" t="s">
        <v>713</v>
      </c>
      <c r="B353" s="121"/>
      <c r="C353" s="121" t="s">
        <v>209</v>
      </c>
      <c r="D353" s="142">
        <v>12.5</v>
      </c>
      <c r="E353" s="142">
        <v>12.5</v>
      </c>
      <c r="F353" s="142">
        <v>12.5</v>
      </c>
      <c r="G353" s="142"/>
      <c r="H353" s="142"/>
    </row>
    <row r="354" spans="1:8">
      <c r="A354" s="121" t="s">
        <v>714</v>
      </c>
      <c r="B354" s="121"/>
      <c r="C354" s="121" t="s">
        <v>210</v>
      </c>
      <c r="D354" s="142">
        <v>30</v>
      </c>
      <c r="E354" s="142">
        <v>30</v>
      </c>
      <c r="F354" s="142">
        <v>30</v>
      </c>
      <c r="G354" s="142"/>
      <c r="H354" s="142"/>
    </row>
    <row r="355" spans="1:8">
      <c r="A355" s="124"/>
      <c r="B355" s="124"/>
      <c r="C355" s="124" t="s">
        <v>924</v>
      </c>
      <c r="D355" s="144">
        <f>SUM(D348:D354)</f>
        <v>1387.5</v>
      </c>
      <c r="E355" s="144">
        <f>SUM(E348:E352)</f>
        <v>1075</v>
      </c>
      <c r="F355" s="144">
        <f>SUM(F348:F352)</f>
        <v>1075</v>
      </c>
      <c r="G355" s="144">
        <f>SUM(G348:G349)</f>
        <v>375</v>
      </c>
      <c r="H355" s="144">
        <f>SUM(H348:H349)</f>
        <v>0</v>
      </c>
    </row>
    <row r="356" spans="1:8" s="178" customFormat="1">
      <c r="A356" s="168">
        <v>14</v>
      </c>
      <c r="B356" s="168" t="s">
        <v>212</v>
      </c>
      <c r="C356" s="168"/>
      <c r="D356" s="167"/>
      <c r="E356" s="167"/>
      <c r="F356" s="167"/>
      <c r="G356" s="167"/>
      <c r="H356" s="167"/>
    </row>
    <row r="357" spans="1:8" s="178" customFormat="1">
      <c r="A357" s="168" t="s">
        <v>706</v>
      </c>
      <c r="B357" s="168"/>
      <c r="C357" s="168" t="s">
        <v>213</v>
      </c>
      <c r="D357" s="167">
        <v>50</v>
      </c>
      <c r="E357" s="167">
        <v>50</v>
      </c>
      <c r="F357" s="167">
        <v>50</v>
      </c>
      <c r="G357" s="167"/>
      <c r="H357" s="167"/>
    </row>
    <row r="358" spans="1:8" s="178" customFormat="1">
      <c r="A358" s="168" t="s">
        <v>709</v>
      </c>
      <c r="B358" s="168"/>
      <c r="C358" s="168" t="s">
        <v>361</v>
      </c>
      <c r="D358" s="167">
        <v>9</v>
      </c>
      <c r="E358" s="167">
        <v>9</v>
      </c>
      <c r="F358" s="167">
        <v>9</v>
      </c>
      <c r="G358" s="167"/>
      <c r="H358" s="167"/>
    </row>
    <row r="359" spans="1:8">
      <c r="A359" s="124"/>
      <c r="B359" s="124"/>
      <c r="C359" s="124" t="s">
        <v>924</v>
      </c>
      <c r="D359" s="144">
        <f>D357+D358</f>
        <v>59</v>
      </c>
      <c r="E359" s="144">
        <f>E357+E358</f>
        <v>59</v>
      </c>
      <c r="F359" s="144">
        <f>F357+F358</f>
        <v>59</v>
      </c>
      <c r="G359" s="144"/>
      <c r="H359" s="144"/>
    </row>
    <row r="360" spans="1:8" ht="12" customHeight="1">
      <c r="A360" s="121">
        <v>15</v>
      </c>
      <c r="B360" s="121" t="s">
        <v>695</v>
      </c>
      <c r="C360" s="121"/>
      <c r="D360" s="142"/>
      <c r="E360" s="142"/>
      <c r="F360" s="142"/>
      <c r="G360" s="142"/>
      <c r="H360" s="142"/>
    </row>
    <row r="361" spans="1:8" ht="12" customHeight="1">
      <c r="A361" s="121" t="s">
        <v>706</v>
      </c>
      <c r="B361" s="121"/>
      <c r="C361" s="121" t="s">
        <v>311</v>
      </c>
      <c r="D361" s="142">
        <v>100</v>
      </c>
      <c r="E361" s="142">
        <v>100</v>
      </c>
      <c r="F361" s="142">
        <v>100</v>
      </c>
      <c r="G361" s="142">
        <f>83.27</f>
        <v>83.27</v>
      </c>
      <c r="H361" s="142"/>
    </row>
    <row r="362" spans="1:8">
      <c r="A362" s="121" t="s">
        <v>709</v>
      </c>
      <c r="B362" s="121"/>
      <c r="C362" s="121" t="s">
        <v>312</v>
      </c>
      <c r="D362" s="142">
        <v>35</v>
      </c>
      <c r="E362" s="142">
        <v>35</v>
      </c>
      <c r="F362" s="142">
        <v>35</v>
      </c>
      <c r="G362" s="142"/>
      <c r="H362" s="142"/>
    </row>
    <row r="363" spans="1:8">
      <c r="A363" s="121" t="s">
        <v>710</v>
      </c>
      <c r="B363" s="121"/>
      <c r="C363" s="121" t="s">
        <v>313</v>
      </c>
      <c r="D363" s="142">
        <v>100</v>
      </c>
      <c r="E363" s="142">
        <v>100</v>
      </c>
      <c r="F363" s="142">
        <v>100</v>
      </c>
      <c r="G363" s="142"/>
      <c r="H363" s="142"/>
    </row>
    <row r="364" spans="1:8">
      <c r="A364" s="124"/>
      <c r="B364" s="124"/>
      <c r="C364" s="124" t="s">
        <v>924</v>
      </c>
      <c r="D364" s="144">
        <f>SUM(D360:D363)</f>
        <v>235</v>
      </c>
      <c r="E364" s="144">
        <f>SUM(E360:E363)</f>
        <v>235</v>
      </c>
      <c r="F364" s="144">
        <f>SUM(F360:F363)</f>
        <v>235</v>
      </c>
      <c r="G364" s="144">
        <f>SUM(G360:G363)</f>
        <v>83.27</v>
      </c>
      <c r="H364" s="144">
        <f>SUM(H360:H363)</f>
        <v>0</v>
      </c>
    </row>
    <row r="365" spans="1:8" s="157" customFormat="1">
      <c r="A365" s="156">
        <v>16</v>
      </c>
      <c r="B365" s="156" t="s">
        <v>126</v>
      </c>
      <c r="E365" s="143"/>
      <c r="F365" s="143"/>
      <c r="G365" s="143"/>
      <c r="H365" s="143"/>
    </row>
    <row r="366" spans="1:8" s="157" customFormat="1">
      <c r="A366" s="156" t="s">
        <v>706</v>
      </c>
      <c r="B366" s="156"/>
      <c r="C366" s="156" t="s">
        <v>127</v>
      </c>
      <c r="D366" s="143">
        <v>102.74</v>
      </c>
      <c r="E366" s="143">
        <v>102.74</v>
      </c>
      <c r="F366" s="143">
        <v>102.74</v>
      </c>
      <c r="G366" s="143"/>
      <c r="H366" s="143"/>
    </row>
    <row r="367" spans="1:8">
      <c r="A367" s="124"/>
      <c r="B367" s="124"/>
      <c r="C367" s="124" t="s">
        <v>924</v>
      </c>
      <c r="D367" s="144">
        <f>SUM(D366)</f>
        <v>102.74</v>
      </c>
      <c r="E367" s="144">
        <f>SUM(E366)</f>
        <v>102.74</v>
      </c>
      <c r="F367" s="144">
        <f>SUM(F366)</f>
        <v>102.74</v>
      </c>
      <c r="G367" s="144">
        <f>SUM(G366)</f>
        <v>0</v>
      </c>
      <c r="H367" s="144">
        <f>SUM(H366)</f>
        <v>0</v>
      </c>
    </row>
    <row r="368" spans="1:8" s="133" customFormat="1">
      <c r="A368" s="156">
        <v>17</v>
      </c>
      <c r="B368" s="156" t="s">
        <v>677</v>
      </c>
      <c r="C368" s="156"/>
      <c r="D368" s="143"/>
      <c r="E368" s="143"/>
      <c r="F368" s="143"/>
      <c r="G368" s="143"/>
      <c r="H368" s="143"/>
    </row>
    <row r="369" spans="1:8" s="133" customFormat="1">
      <c r="A369" s="156" t="s">
        <v>706</v>
      </c>
      <c r="B369" s="156"/>
      <c r="C369" s="156" t="s">
        <v>854</v>
      </c>
      <c r="D369" s="143">
        <v>170</v>
      </c>
      <c r="E369" s="143">
        <v>170</v>
      </c>
      <c r="F369" s="143">
        <v>170</v>
      </c>
      <c r="G369" s="143">
        <f>159.58</f>
        <v>159.58000000000001</v>
      </c>
      <c r="H369" s="143">
        <f>F369-G369</f>
        <v>10.419999999999987</v>
      </c>
    </row>
    <row r="370" spans="1:8">
      <c r="A370" s="124"/>
      <c r="B370" s="124"/>
      <c r="C370" s="124" t="s">
        <v>924</v>
      </c>
      <c r="D370" s="144">
        <f>SUM(D369)</f>
        <v>170</v>
      </c>
      <c r="E370" s="144">
        <f>SUM(E369)</f>
        <v>170</v>
      </c>
      <c r="F370" s="144">
        <f>SUM(F369)</f>
        <v>170</v>
      </c>
      <c r="G370" s="144">
        <f>SUM(G369)</f>
        <v>159.58000000000001</v>
      </c>
      <c r="H370" s="144">
        <f>SUM(H369)</f>
        <v>10.419999999999987</v>
      </c>
    </row>
    <row r="371" spans="1:8" s="157" customFormat="1">
      <c r="A371" s="156">
        <v>18</v>
      </c>
      <c r="B371" s="156" t="s">
        <v>128</v>
      </c>
      <c r="C371" s="156"/>
      <c r="D371" s="143"/>
      <c r="E371" s="143"/>
      <c r="F371" s="143"/>
      <c r="G371" s="143"/>
      <c r="H371" s="143"/>
    </row>
    <row r="372" spans="1:8" s="157" customFormat="1">
      <c r="A372" s="156" t="s">
        <v>706</v>
      </c>
      <c r="B372" s="156"/>
      <c r="C372" s="156" t="s">
        <v>129</v>
      </c>
      <c r="D372" s="143">
        <v>7500</v>
      </c>
      <c r="E372" s="143">
        <v>7500</v>
      </c>
      <c r="F372" s="143">
        <v>7500</v>
      </c>
      <c r="G372" s="143"/>
      <c r="H372" s="143"/>
    </row>
    <row r="373" spans="1:8">
      <c r="A373" s="124"/>
      <c r="B373" s="124"/>
      <c r="C373" s="124" t="s">
        <v>924</v>
      </c>
      <c r="D373" s="144">
        <f>SUM(D372)</f>
        <v>7500</v>
      </c>
      <c r="E373" s="144">
        <f>SUM(E372)</f>
        <v>7500</v>
      </c>
      <c r="F373" s="144">
        <f>SUM(F372)</f>
        <v>7500</v>
      </c>
      <c r="G373" s="144">
        <f>SUM(G372)</f>
        <v>0</v>
      </c>
      <c r="H373" s="144">
        <f>SUM(H372)</f>
        <v>0</v>
      </c>
    </row>
    <row r="374" spans="1:8">
      <c r="A374" s="175" t="s">
        <v>205</v>
      </c>
      <c r="B374" s="172"/>
      <c r="C374" s="172"/>
      <c r="D374" s="173">
        <f>SUM(D370,D367,D364,D359,D355,D347,D327,D324,D320,D316,D300,D296,D293,D289,D284,D278,D275)</f>
        <v>14961.009999999998</v>
      </c>
      <c r="E374" s="173">
        <f>SUM(E370,E367,E364,E359,E355,E347,E327,E324,E320,E316,E300,E296,E293,E289,E284,E278,E275)</f>
        <v>13256.21</v>
      </c>
      <c r="F374" s="173">
        <f>SUM(F359,F355,F347,F327,F324,F320,F316,F300,F296,F293,F289,F284,F278,F275)</f>
        <v>12509.97</v>
      </c>
      <c r="G374" s="173">
        <f>SUM(G355,G347,G327,G324,G320,G316,G300,G296,G293,G289,G284,G278,G275)</f>
        <v>6201.76</v>
      </c>
      <c r="H374" s="173">
        <f>SUM(H355,H347,H327,H324,H320,H316,H300,H296,H293,H289,H284,H278,H275)</f>
        <v>0</v>
      </c>
    </row>
    <row r="375" spans="1:8">
      <c r="A375" s="179" t="s">
        <v>231</v>
      </c>
      <c r="B375" s="180"/>
      <c r="C375" s="180"/>
      <c r="D375" s="181"/>
      <c r="E375" s="181"/>
      <c r="F375" s="182"/>
      <c r="G375" s="182"/>
      <c r="H375" s="182"/>
    </row>
    <row r="376" spans="1:8">
      <c r="A376" s="117"/>
      <c r="B376" s="118" t="s">
        <v>923</v>
      </c>
      <c r="C376" s="118" t="s">
        <v>699</v>
      </c>
      <c r="D376" s="140" t="s">
        <v>700</v>
      </c>
      <c r="E376" s="140" t="s">
        <v>701</v>
      </c>
      <c r="F376" s="141" t="s">
        <v>702</v>
      </c>
      <c r="G376" s="141" t="s">
        <v>703</v>
      </c>
      <c r="H376" s="141" t="s">
        <v>704</v>
      </c>
    </row>
    <row r="377" spans="1:8">
      <c r="A377" s="121">
        <v>1</v>
      </c>
      <c r="B377" s="121" t="s">
        <v>232</v>
      </c>
      <c r="C377" s="121"/>
      <c r="D377" s="142"/>
      <c r="E377" s="142"/>
      <c r="F377" s="142"/>
      <c r="G377" s="142"/>
      <c r="H377" s="142"/>
    </row>
    <row r="378" spans="1:8">
      <c r="A378" s="121" t="s">
        <v>706</v>
      </c>
      <c r="B378" s="121"/>
      <c r="C378" s="121" t="s">
        <v>711</v>
      </c>
      <c r="D378" s="142">
        <v>50</v>
      </c>
      <c r="E378" s="142">
        <v>0</v>
      </c>
      <c r="F378" s="142">
        <v>0</v>
      </c>
      <c r="G378" s="142"/>
      <c r="H378" s="142"/>
    </row>
    <row r="379" spans="1:8">
      <c r="A379" s="121" t="s">
        <v>709</v>
      </c>
      <c r="B379" s="121"/>
      <c r="C379" s="121" t="s">
        <v>233</v>
      </c>
      <c r="D379" s="142">
        <v>9</v>
      </c>
      <c r="E379" s="142">
        <v>0</v>
      </c>
      <c r="F379" s="142">
        <v>0</v>
      </c>
      <c r="G379" s="142"/>
      <c r="H379" s="142"/>
    </row>
    <row r="380" spans="1:8">
      <c r="A380" s="121" t="s">
        <v>710</v>
      </c>
      <c r="B380" s="121"/>
      <c r="C380" s="121" t="s">
        <v>363</v>
      </c>
      <c r="D380" s="142">
        <v>500</v>
      </c>
      <c r="E380" s="142">
        <v>250</v>
      </c>
      <c r="F380" s="142">
        <v>250</v>
      </c>
      <c r="G380" s="142">
        <f>250</f>
        <v>250</v>
      </c>
      <c r="H380" s="142"/>
    </row>
    <row r="381" spans="1:8">
      <c r="A381" s="124"/>
      <c r="B381" s="124"/>
      <c r="C381" s="124" t="s">
        <v>924</v>
      </c>
      <c r="D381" s="144">
        <f>SUM(D378:D380)</f>
        <v>559</v>
      </c>
      <c r="E381" s="144">
        <f>SUM(E378:E380)</f>
        <v>250</v>
      </c>
      <c r="F381" s="144">
        <f>SUM(F378:F380)</f>
        <v>250</v>
      </c>
      <c r="G381" s="144">
        <f>SUM(G378:G380)</f>
        <v>250</v>
      </c>
      <c r="H381" s="144">
        <f>SUM(H378:H380)</f>
        <v>0</v>
      </c>
    </row>
    <row r="382" spans="1:8">
      <c r="A382" s="121">
        <v>2</v>
      </c>
      <c r="B382" s="121" t="s">
        <v>677</v>
      </c>
      <c r="C382" s="121"/>
      <c r="D382" s="142"/>
      <c r="E382" s="142"/>
      <c r="F382" s="142"/>
      <c r="G382" s="142"/>
      <c r="H382" s="142"/>
    </row>
    <row r="383" spans="1:8">
      <c r="A383" s="121" t="s">
        <v>706</v>
      </c>
      <c r="B383" s="121"/>
      <c r="C383" s="121" t="s">
        <v>234</v>
      </c>
      <c r="D383" s="142">
        <v>400</v>
      </c>
      <c r="E383" s="142"/>
      <c r="F383" s="142"/>
      <c r="G383" s="142"/>
      <c r="H383" s="142"/>
    </row>
    <row r="384" spans="1:8">
      <c r="A384" s="124"/>
      <c r="B384" s="124"/>
      <c r="C384" s="124" t="s">
        <v>924</v>
      </c>
      <c r="D384" s="144">
        <f>SUM(D383:D383)</f>
        <v>400</v>
      </c>
      <c r="E384" s="144">
        <f>SUM(E383:E383)</f>
        <v>0</v>
      </c>
      <c r="F384" s="144">
        <f>SUM(F383:F383)</f>
        <v>0</v>
      </c>
      <c r="G384" s="144">
        <f>SUM(G383:G383)</f>
        <v>0</v>
      </c>
      <c r="H384" s="144">
        <f>SUM(H383:H383)</f>
        <v>0</v>
      </c>
    </row>
    <row r="385" spans="1:8">
      <c r="A385" s="121">
        <v>3</v>
      </c>
      <c r="B385" s="121" t="s">
        <v>885</v>
      </c>
      <c r="C385" s="121"/>
      <c r="D385" s="142"/>
      <c r="E385" s="142"/>
      <c r="F385" s="142"/>
      <c r="G385" s="142"/>
      <c r="H385" s="142"/>
    </row>
    <row r="386" spans="1:8">
      <c r="A386" s="121" t="s">
        <v>706</v>
      </c>
      <c r="B386" s="121"/>
      <c r="C386" s="121" t="s">
        <v>711</v>
      </c>
      <c r="D386" s="142">
        <v>750</v>
      </c>
      <c r="E386" s="142">
        <v>750</v>
      </c>
      <c r="F386" s="142">
        <v>750</v>
      </c>
      <c r="G386" s="142">
        <f>434.68+23.87+30</f>
        <v>488.55</v>
      </c>
      <c r="H386" s="142">
        <f>F386-G386</f>
        <v>261.45</v>
      </c>
    </row>
    <row r="387" spans="1:8">
      <c r="A387" s="124"/>
      <c r="B387" s="124"/>
      <c r="C387" s="124" t="s">
        <v>924</v>
      </c>
      <c r="D387" s="144">
        <f>SUM(D386:D386)</f>
        <v>750</v>
      </c>
      <c r="E387" s="144">
        <f>SUM(E386:E386)</f>
        <v>750</v>
      </c>
      <c r="F387" s="144">
        <f>SUM(F386:F386)</f>
        <v>750</v>
      </c>
      <c r="G387" s="144">
        <f>SUM(G386:G386)</f>
        <v>488.55</v>
      </c>
      <c r="H387" s="144">
        <f>SUM(H386:H386)</f>
        <v>261.45</v>
      </c>
    </row>
    <row r="388" spans="1:8">
      <c r="A388" s="121">
        <v>4</v>
      </c>
      <c r="B388" s="121" t="s">
        <v>235</v>
      </c>
      <c r="C388" s="121"/>
      <c r="D388" s="142"/>
      <c r="E388" s="142"/>
      <c r="F388" s="142"/>
      <c r="G388" s="142"/>
      <c r="H388" s="142"/>
    </row>
    <row r="389" spans="1:8" s="139" customFormat="1">
      <c r="A389" s="121" t="s">
        <v>706</v>
      </c>
      <c r="B389" s="121"/>
      <c r="C389" s="121" t="s">
        <v>236</v>
      </c>
      <c r="D389" s="142">
        <v>3500</v>
      </c>
      <c r="E389" s="142">
        <v>3500</v>
      </c>
      <c r="F389" s="142">
        <v>3500</v>
      </c>
      <c r="G389" s="142"/>
      <c r="H389" s="142"/>
    </row>
    <row r="390" spans="1:8" s="139" customFormat="1">
      <c r="A390" s="121" t="s">
        <v>709</v>
      </c>
      <c r="B390" s="121"/>
      <c r="C390" s="121" t="s">
        <v>237</v>
      </c>
      <c r="D390" s="142">
        <v>1250</v>
      </c>
      <c r="E390" s="142">
        <v>0</v>
      </c>
      <c r="F390" s="142">
        <v>0</v>
      </c>
      <c r="G390" s="142"/>
      <c r="H390" s="142"/>
    </row>
    <row r="391" spans="1:8" s="139" customFormat="1">
      <c r="A391" s="121" t="s">
        <v>710</v>
      </c>
      <c r="B391" s="121"/>
      <c r="C391" s="121" t="s">
        <v>238</v>
      </c>
      <c r="D391" s="142">
        <v>1500</v>
      </c>
      <c r="E391" s="142">
        <v>1500</v>
      </c>
      <c r="F391" s="142">
        <v>1500</v>
      </c>
      <c r="G391" s="142"/>
      <c r="H391" s="142"/>
    </row>
    <row r="392" spans="1:8" s="139" customFormat="1">
      <c r="A392" s="121" t="s">
        <v>712</v>
      </c>
      <c r="B392" s="121"/>
      <c r="C392" s="121" t="s">
        <v>239</v>
      </c>
      <c r="D392" s="142">
        <v>1400</v>
      </c>
      <c r="E392" s="142">
        <f>550+550</f>
        <v>1100</v>
      </c>
      <c r="F392" s="142">
        <f>550+550</f>
        <v>1100</v>
      </c>
      <c r="G392" s="142"/>
      <c r="H392" s="142"/>
    </row>
    <row r="393" spans="1:8" s="139" customFormat="1">
      <c r="A393" s="121" t="s">
        <v>713</v>
      </c>
      <c r="B393" s="121"/>
      <c r="C393" s="121" t="s">
        <v>240</v>
      </c>
      <c r="D393" s="142">
        <v>500</v>
      </c>
      <c r="E393" s="142">
        <v>500</v>
      </c>
      <c r="F393" s="142">
        <v>500</v>
      </c>
      <c r="G393" s="142"/>
      <c r="H393" s="142"/>
    </row>
    <row r="394" spans="1:8" s="139" customFormat="1">
      <c r="A394" s="121" t="s">
        <v>714</v>
      </c>
      <c r="B394" s="121"/>
      <c r="C394" s="121" t="s">
        <v>749</v>
      </c>
      <c r="D394" s="142">
        <v>500</v>
      </c>
      <c r="E394" s="142">
        <v>500</v>
      </c>
      <c r="F394" s="142">
        <v>500</v>
      </c>
      <c r="G394" s="142"/>
      <c r="H394" s="142"/>
    </row>
    <row r="395" spans="1:8" s="139" customFormat="1">
      <c r="A395" s="121" t="s">
        <v>715</v>
      </c>
      <c r="B395" s="121"/>
      <c r="C395" s="121" t="s">
        <v>90</v>
      </c>
      <c r="D395" s="142">
        <v>3500</v>
      </c>
      <c r="E395" s="142">
        <v>3500</v>
      </c>
      <c r="F395" s="142">
        <v>3500</v>
      </c>
      <c r="G395" s="142"/>
      <c r="H395" s="142"/>
    </row>
    <row r="396" spans="1:8" s="139" customFormat="1">
      <c r="A396" s="121" t="s">
        <v>716</v>
      </c>
      <c r="B396" s="121"/>
      <c r="C396" s="121" t="s">
        <v>91</v>
      </c>
      <c r="D396" s="142">
        <v>3500</v>
      </c>
      <c r="E396" s="142">
        <v>3500</v>
      </c>
      <c r="F396" s="142">
        <v>3500</v>
      </c>
      <c r="G396" s="142"/>
      <c r="H396" s="142"/>
    </row>
    <row r="397" spans="1:8" s="139" customFormat="1">
      <c r="A397" s="124"/>
      <c r="B397" s="124"/>
      <c r="C397" s="124" t="s">
        <v>924</v>
      </c>
      <c r="D397" s="144">
        <f>SUM(D389:D396)</f>
        <v>15650</v>
      </c>
      <c r="E397" s="144">
        <f>SUM(E388:E396)</f>
        <v>14100</v>
      </c>
      <c r="F397" s="144">
        <f>SUM(F388:F396)</f>
        <v>14100</v>
      </c>
      <c r="G397" s="144">
        <f>SUM(G388:G391)</f>
        <v>0</v>
      </c>
      <c r="H397" s="144">
        <f>SUM(H388:H391)</f>
        <v>0</v>
      </c>
    </row>
    <row r="398" spans="1:8">
      <c r="A398" s="121">
        <v>5</v>
      </c>
      <c r="B398" s="121" t="s">
        <v>133</v>
      </c>
      <c r="C398" s="121"/>
      <c r="D398" s="142"/>
      <c r="E398" s="142"/>
      <c r="F398" s="142"/>
      <c r="G398" s="142"/>
      <c r="H398" s="142"/>
    </row>
    <row r="399" spans="1:8">
      <c r="A399" s="121" t="s">
        <v>706</v>
      </c>
      <c r="B399" s="121"/>
      <c r="C399" s="121" t="s">
        <v>363</v>
      </c>
      <c r="D399" s="142">
        <v>7500</v>
      </c>
      <c r="E399" s="142">
        <v>0</v>
      </c>
      <c r="F399" s="142">
        <v>0</v>
      </c>
      <c r="G399" s="142"/>
      <c r="H399" s="142"/>
    </row>
    <row r="400" spans="1:8">
      <c r="A400" s="121" t="s">
        <v>709</v>
      </c>
      <c r="B400" s="121"/>
      <c r="C400" s="121" t="s">
        <v>708</v>
      </c>
      <c r="D400" s="142">
        <v>9</v>
      </c>
      <c r="E400" s="142">
        <v>0</v>
      </c>
      <c r="F400" s="142">
        <v>0</v>
      </c>
      <c r="G400" s="142"/>
      <c r="H400" s="142"/>
    </row>
    <row r="401" spans="1:8">
      <c r="A401" s="124"/>
      <c r="B401" s="124"/>
      <c r="C401" s="124" t="s">
        <v>924</v>
      </c>
      <c r="D401" s="144">
        <f>SUM(D399:D400)</f>
        <v>7509</v>
      </c>
      <c r="E401" s="144">
        <f>SUM(E399:E400)</f>
        <v>0</v>
      </c>
      <c r="F401" s="144">
        <f>SUM(F399:F400)</f>
        <v>0</v>
      </c>
      <c r="G401" s="144">
        <f>SUM(G399:G400)</f>
        <v>0</v>
      </c>
      <c r="H401" s="144">
        <f>SUM(H399:H400)</f>
        <v>0</v>
      </c>
    </row>
    <row r="402" spans="1:8">
      <c r="A402" s="121">
        <v>6</v>
      </c>
      <c r="B402" s="121" t="s">
        <v>92</v>
      </c>
      <c r="C402" s="121"/>
      <c r="D402" s="142"/>
      <c r="E402" s="142"/>
      <c r="F402" s="142"/>
      <c r="G402" s="142"/>
      <c r="H402" s="142"/>
    </row>
    <row r="403" spans="1:8">
      <c r="A403" s="121" t="s">
        <v>706</v>
      </c>
      <c r="B403" s="121"/>
      <c r="C403" s="121" t="s">
        <v>93</v>
      </c>
      <c r="D403" s="142">
        <v>1500</v>
      </c>
      <c r="E403" s="142">
        <v>1500</v>
      </c>
      <c r="F403" s="142">
        <v>1500</v>
      </c>
      <c r="G403" s="142"/>
      <c r="H403" s="142"/>
    </row>
    <row r="404" spans="1:8">
      <c r="A404" s="121" t="s">
        <v>709</v>
      </c>
      <c r="B404" s="121"/>
      <c r="C404" s="121" t="s">
        <v>94</v>
      </c>
      <c r="D404" s="142">
        <v>1500</v>
      </c>
      <c r="E404" s="142">
        <v>0</v>
      </c>
      <c r="F404" s="142">
        <v>0</v>
      </c>
      <c r="G404" s="142"/>
      <c r="H404" s="142"/>
    </row>
    <row r="405" spans="1:8">
      <c r="A405" s="121" t="s">
        <v>710</v>
      </c>
      <c r="B405" s="121"/>
      <c r="C405" s="121" t="s">
        <v>95</v>
      </c>
      <c r="D405" s="142">
        <v>250</v>
      </c>
      <c r="E405" s="142">
        <v>250</v>
      </c>
      <c r="F405" s="142">
        <v>250</v>
      </c>
      <c r="G405" s="142"/>
      <c r="H405" s="142"/>
    </row>
    <row r="406" spans="1:8">
      <c r="A406" s="124"/>
      <c r="B406" s="124"/>
      <c r="C406" s="124" t="s">
        <v>924</v>
      </c>
      <c r="D406" s="144">
        <f>SUM(D403:D405)</f>
        <v>3250</v>
      </c>
      <c r="E406" s="144">
        <f>SUM(F403:F405)</f>
        <v>1750</v>
      </c>
      <c r="F406" s="144">
        <f>SUM(F403:F405)</f>
        <v>1750</v>
      </c>
      <c r="G406" s="144">
        <f>SUM(G403:G405)</f>
        <v>0</v>
      </c>
      <c r="H406" s="144">
        <f>SUM(H403:H405)</f>
        <v>0</v>
      </c>
    </row>
    <row r="407" spans="1:8">
      <c r="A407" s="121">
        <v>7</v>
      </c>
      <c r="B407" s="121" t="s">
        <v>511</v>
      </c>
      <c r="C407" s="121"/>
      <c r="D407" s="142"/>
      <c r="E407" s="142"/>
      <c r="F407" s="142"/>
      <c r="G407" s="142"/>
      <c r="H407" s="142"/>
    </row>
    <row r="408" spans="1:8">
      <c r="A408" s="121" t="s">
        <v>706</v>
      </c>
      <c r="B408" s="121"/>
      <c r="C408" s="121" t="s">
        <v>96</v>
      </c>
      <c r="D408" s="142">
        <v>395</v>
      </c>
      <c r="E408" s="142"/>
      <c r="F408" s="142"/>
      <c r="G408" s="142"/>
      <c r="H408" s="142"/>
    </row>
    <row r="409" spans="1:8">
      <c r="A409" s="121" t="s">
        <v>709</v>
      </c>
      <c r="B409" s="121"/>
      <c r="C409" s="121" t="s">
        <v>97</v>
      </c>
      <c r="D409" s="142">
        <v>165</v>
      </c>
      <c r="E409" s="142"/>
      <c r="F409" s="142"/>
      <c r="G409" s="142"/>
      <c r="H409" s="142"/>
    </row>
    <row r="410" spans="1:8">
      <c r="A410" s="124"/>
      <c r="B410" s="124"/>
      <c r="C410" s="124" t="s">
        <v>924</v>
      </c>
      <c r="D410" s="144">
        <f>SUM(D408:D409)</f>
        <v>560</v>
      </c>
      <c r="E410" s="144">
        <f>SUM(E408:E409)</f>
        <v>0</v>
      </c>
      <c r="F410" s="144">
        <f>SUM(F408:F409)</f>
        <v>0</v>
      </c>
      <c r="G410" s="144">
        <f>SUM(G408:G409)</f>
        <v>0</v>
      </c>
      <c r="H410" s="144">
        <f>SUM(H408:H409)</f>
        <v>0</v>
      </c>
    </row>
    <row r="411" spans="1:8">
      <c r="A411" s="121">
        <v>8</v>
      </c>
      <c r="B411" s="121" t="s">
        <v>98</v>
      </c>
      <c r="C411" s="121"/>
      <c r="D411" s="142"/>
      <c r="E411" s="142"/>
      <c r="F411" s="142"/>
      <c r="G411" s="142"/>
      <c r="H411" s="142"/>
    </row>
    <row r="412" spans="1:8">
      <c r="A412" s="121" t="s">
        <v>706</v>
      </c>
      <c r="B412" s="121"/>
      <c r="C412" s="121" t="s">
        <v>99</v>
      </c>
      <c r="D412" s="142">
        <v>200</v>
      </c>
      <c r="E412" s="142"/>
      <c r="F412" s="142"/>
      <c r="G412" s="142"/>
      <c r="H412" s="142"/>
    </row>
    <row r="413" spans="1:8">
      <c r="A413" s="121" t="s">
        <v>709</v>
      </c>
      <c r="B413" s="121"/>
      <c r="C413" s="121" t="s">
        <v>100</v>
      </c>
      <c r="D413" s="142">
        <v>150</v>
      </c>
      <c r="E413" s="142"/>
      <c r="F413" s="142"/>
      <c r="G413" s="142"/>
      <c r="H413" s="142"/>
    </row>
    <row r="414" spans="1:8">
      <c r="A414" s="121" t="s">
        <v>710</v>
      </c>
      <c r="B414" s="121"/>
      <c r="C414" s="121" t="s">
        <v>101</v>
      </c>
      <c r="D414" s="142">
        <v>100</v>
      </c>
      <c r="E414" s="142"/>
      <c r="F414" s="142"/>
      <c r="G414" s="142"/>
      <c r="H414" s="142"/>
    </row>
    <row r="415" spans="1:8">
      <c r="A415" s="124"/>
      <c r="B415" s="124"/>
      <c r="C415" s="124" t="s">
        <v>924</v>
      </c>
      <c r="D415" s="144">
        <f>SUM(D412:D414)</f>
        <v>450</v>
      </c>
      <c r="E415" s="144">
        <f>SUM(E412:E414)</f>
        <v>0</v>
      </c>
      <c r="F415" s="144">
        <f>SUM(F412:F414)</f>
        <v>0</v>
      </c>
      <c r="G415" s="144">
        <f>SUM(G412:G414)</f>
        <v>0</v>
      </c>
      <c r="H415" s="144">
        <f>SUM(H412:H414)</f>
        <v>0</v>
      </c>
    </row>
    <row r="416" spans="1:8">
      <c r="A416" s="121">
        <v>9</v>
      </c>
      <c r="B416" s="121" t="s">
        <v>102</v>
      </c>
      <c r="C416" s="121"/>
      <c r="D416" s="142"/>
      <c r="E416" s="142"/>
      <c r="F416" s="142"/>
      <c r="G416" s="142"/>
      <c r="H416" s="142"/>
    </row>
    <row r="417" spans="1:8">
      <c r="A417" s="121" t="s">
        <v>706</v>
      </c>
      <c r="B417" s="121"/>
      <c r="C417" s="121" t="s">
        <v>103</v>
      </c>
      <c r="D417" s="142">
        <v>250</v>
      </c>
      <c r="E417" s="142"/>
      <c r="F417" s="142"/>
      <c r="G417" s="142"/>
      <c r="H417" s="142"/>
    </row>
    <row r="418" spans="1:8">
      <c r="A418" s="124"/>
      <c r="B418" s="124"/>
      <c r="C418" s="124" t="s">
        <v>924</v>
      </c>
      <c r="D418" s="144">
        <f>SUM(D417:D417)</f>
        <v>250</v>
      </c>
      <c r="E418" s="144">
        <f>SUM(E417:E417)</f>
        <v>0</v>
      </c>
      <c r="F418" s="144">
        <f>SUM(F417:F417)</f>
        <v>0</v>
      </c>
      <c r="G418" s="144">
        <f>SUM(G417:G417)</f>
        <v>0</v>
      </c>
      <c r="H418" s="144">
        <f>SUM(H417:H417)</f>
        <v>0</v>
      </c>
    </row>
    <row r="419" spans="1:8">
      <c r="A419" s="121">
        <v>10</v>
      </c>
      <c r="B419" s="121" t="s">
        <v>429</v>
      </c>
      <c r="C419" s="121"/>
      <c r="D419" s="142"/>
      <c r="E419" s="142"/>
      <c r="F419" s="142"/>
      <c r="G419" s="142"/>
      <c r="H419" s="142"/>
    </row>
    <row r="420" spans="1:8">
      <c r="A420" s="121" t="s">
        <v>706</v>
      </c>
      <c r="B420" s="121"/>
      <c r="C420" s="121" t="s">
        <v>948</v>
      </c>
      <c r="D420" s="142">
        <v>1500</v>
      </c>
      <c r="E420" s="142">
        <v>1000</v>
      </c>
      <c r="F420" s="142">
        <v>1000</v>
      </c>
      <c r="G420" s="142"/>
      <c r="H420" s="142"/>
    </row>
    <row r="421" spans="1:8">
      <c r="A421" s="124"/>
      <c r="B421" s="124"/>
      <c r="C421" s="124" t="s">
        <v>924</v>
      </c>
      <c r="D421" s="144">
        <f>SUM(D420:D420)</f>
        <v>1500</v>
      </c>
      <c r="E421" s="144">
        <f>SUM(E420:E420)</f>
        <v>1000</v>
      </c>
      <c r="F421" s="144">
        <f>SUM(F420:F420)</f>
        <v>1000</v>
      </c>
      <c r="G421" s="144">
        <f>SUM(G420:G420)</f>
        <v>0</v>
      </c>
      <c r="H421" s="144">
        <f>SUM(H420:H420)</f>
        <v>0</v>
      </c>
    </row>
    <row r="422" spans="1:8">
      <c r="A422" s="121">
        <v>11</v>
      </c>
      <c r="B422" s="121" t="s">
        <v>796</v>
      </c>
      <c r="C422" s="121"/>
      <c r="D422" s="142"/>
      <c r="E422" s="142"/>
      <c r="F422" s="142"/>
      <c r="G422" s="142"/>
      <c r="H422" s="142"/>
    </row>
    <row r="423" spans="1:8">
      <c r="A423" s="121" t="s">
        <v>706</v>
      </c>
      <c r="B423" s="121"/>
      <c r="C423" s="121" t="s">
        <v>104</v>
      </c>
      <c r="D423" s="142">
        <v>1000</v>
      </c>
      <c r="E423" s="142">
        <v>1000</v>
      </c>
      <c r="F423" s="142">
        <v>1000</v>
      </c>
      <c r="G423" s="142">
        <v>1000</v>
      </c>
      <c r="H423" s="142"/>
    </row>
    <row r="424" spans="1:8">
      <c r="A424" s="121" t="s">
        <v>709</v>
      </c>
      <c r="B424" s="121"/>
      <c r="C424" s="121" t="s">
        <v>118</v>
      </c>
      <c r="D424" s="142">
        <v>2000</v>
      </c>
      <c r="E424" s="142">
        <v>0</v>
      </c>
      <c r="F424" s="142">
        <v>0</v>
      </c>
      <c r="G424" s="142"/>
      <c r="H424" s="142"/>
    </row>
    <row r="425" spans="1:8">
      <c r="A425" s="124"/>
      <c r="B425" s="124"/>
      <c r="C425" s="124" t="s">
        <v>924</v>
      </c>
      <c r="D425" s="144">
        <f>SUM(D423:D424)</f>
        <v>3000</v>
      </c>
      <c r="E425" s="144">
        <f>SUM(E423:E424)</f>
        <v>1000</v>
      </c>
      <c r="F425" s="144">
        <f>SUM(F423:F424)</f>
        <v>1000</v>
      </c>
      <c r="G425" s="144">
        <f>SUM(G423:G424)</f>
        <v>1000</v>
      </c>
      <c r="H425" s="144">
        <f>SUM(H423:H424)</f>
        <v>0</v>
      </c>
    </row>
    <row r="426" spans="1:8">
      <c r="A426" s="121">
        <v>12</v>
      </c>
      <c r="B426" s="121" t="s">
        <v>105</v>
      </c>
      <c r="C426" s="121"/>
      <c r="D426" s="142"/>
      <c r="E426" s="142"/>
      <c r="F426" s="142"/>
      <c r="G426" s="142"/>
      <c r="H426" s="142"/>
    </row>
    <row r="427" spans="1:8">
      <c r="A427" s="121" t="s">
        <v>706</v>
      </c>
      <c r="B427" s="121"/>
      <c r="C427" s="121" t="s">
        <v>311</v>
      </c>
      <c r="D427" s="142">
        <v>50</v>
      </c>
      <c r="E427" s="142">
        <v>50</v>
      </c>
      <c r="F427" s="142">
        <v>50</v>
      </c>
      <c r="G427" s="142">
        <f>50</f>
        <v>50</v>
      </c>
      <c r="H427" s="142"/>
    </row>
    <row r="428" spans="1:8">
      <c r="A428" s="121" t="s">
        <v>709</v>
      </c>
      <c r="B428" s="121"/>
      <c r="C428" s="121" t="s">
        <v>264</v>
      </c>
      <c r="D428" s="142">
        <v>15</v>
      </c>
      <c r="E428" s="142">
        <v>9</v>
      </c>
      <c r="F428" s="142">
        <v>9</v>
      </c>
      <c r="G428" s="142">
        <f>7.35</f>
        <v>7.35</v>
      </c>
      <c r="H428" s="142"/>
    </row>
    <row r="429" spans="1:8">
      <c r="A429" s="124"/>
      <c r="B429" s="124"/>
      <c r="C429" s="124" t="s">
        <v>924</v>
      </c>
      <c r="D429" s="144">
        <f>SUM(D427:D428)</f>
        <v>65</v>
      </c>
      <c r="E429" s="144">
        <f>SUM(E427:E428)</f>
        <v>59</v>
      </c>
      <c r="F429" s="144">
        <f>SUM(F427:F428)</f>
        <v>59</v>
      </c>
      <c r="G429" s="144">
        <f>SUM(G427:G428)</f>
        <v>57.35</v>
      </c>
      <c r="H429" s="144">
        <f>SUM(H427:H428)</f>
        <v>0</v>
      </c>
    </row>
    <row r="430" spans="1:8">
      <c r="A430" s="121">
        <v>13</v>
      </c>
      <c r="B430" s="121" t="s">
        <v>106</v>
      </c>
      <c r="C430" s="121"/>
      <c r="D430" s="142"/>
      <c r="E430" s="142"/>
      <c r="F430" s="142"/>
      <c r="G430" s="142"/>
      <c r="H430" s="142"/>
    </row>
    <row r="431" spans="1:8">
      <c r="A431" s="121" t="s">
        <v>706</v>
      </c>
      <c r="B431" s="121"/>
      <c r="C431" s="121" t="s">
        <v>711</v>
      </c>
      <c r="D431" s="142">
        <v>1000</v>
      </c>
      <c r="E431" s="142">
        <v>500</v>
      </c>
      <c r="F431" s="142">
        <v>500</v>
      </c>
      <c r="G431" s="142">
        <f>134.4</f>
        <v>134.4</v>
      </c>
      <c r="H431" s="142">
        <f>F431-G431</f>
        <v>365.6</v>
      </c>
    </row>
    <row r="432" spans="1:8">
      <c r="A432" s="121" t="s">
        <v>709</v>
      </c>
      <c r="B432" s="121"/>
      <c r="C432" s="121" t="s">
        <v>107</v>
      </c>
      <c r="D432" s="142">
        <v>12.5</v>
      </c>
      <c r="E432" s="142">
        <v>12.5</v>
      </c>
      <c r="F432" s="142">
        <v>12.5</v>
      </c>
      <c r="G432" s="142">
        <f>12.5</f>
        <v>12.5</v>
      </c>
      <c r="H432" s="142"/>
    </row>
    <row r="433" spans="1:8">
      <c r="A433" s="121" t="s">
        <v>710</v>
      </c>
      <c r="B433" s="121"/>
      <c r="C433" s="121" t="s">
        <v>108</v>
      </c>
      <c r="D433" s="142">
        <v>30</v>
      </c>
      <c r="E433" s="142">
        <v>30</v>
      </c>
      <c r="F433" s="142">
        <v>30</v>
      </c>
      <c r="G433" s="142">
        <f>30</f>
        <v>30</v>
      </c>
      <c r="H433" s="142">
        <v>0</v>
      </c>
    </row>
    <row r="434" spans="1:8">
      <c r="A434" s="121" t="s">
        <v>712</v>
      </c>
      <c r="B434" s="121"/>
      <c r="C434" s="121" t="s">
        <v>109</v>
      </c>
      <c r="D434" s="142">
        <v>30</v>
      </c>
      <c r="E434" s="142">
        <v>30</v>
      </c>
      <c r="F434" s="142">
        <v>30</v>
      </c>
      <c r="G434" s="142">
        <f>29.2</f>
        <v>29.2</v>
      </c>
      <c r="H434" s="142"/>
    </row>
    <row r="435" spans="1:8">
      <c r="A435" s="124"/>
      <c r="B435" s="124"/>
      <c r="C435" s="124" t="s">
        <v>924</v>
      </c>
      <c r="D435" s="144">
        <f>SUM(D431:D434)</f>
        <v>1072.5</v>
      </c>
      <c r="E435" s="144">
        <f>SUM(E431:E434)</f>
        <v>572.5</v>
      </c>
      <c r="F435" s="144">
        <f>SUM(F431:F434)</f>
        <v>572.5</v>
      </c>
      <c r="G435" s="144">
        <f>SUM(G431:G434)</f>
        <v>206.1</v>
      </c>
      <c r="H435" s="144">
        <f>SUM(H431:H434)</f>
        <v>365.6</v>
      </c>
    </row>
    <row r="436" spans="1:8">
      <c r="A436" s="121">
        <v>14</v>
      </c>
      <c r="B436" s="121" t="s">
        <v>111</v>
      </c>
      <c r="C436" s="121"/>
      <c r="D436" s="142"/>
      <c r="E436" s="142"/>
      <c r="F436" s="142"/>
      <c r="G436" s="142"/>
      <c r="H436" s="142"/>
    </row>
    <row r="437" spans="1:8">
      <c r="A437" s="121" t="s">
        <v>706</v>
      </c>
      <c r="B437" s="121"/>
      <c r="C437" s="121" t="s">
        <v>110</v>
      </c>
      <c r="D437" s="142">
        <v>858</v>
      </c>
      <c r="E437" s="142">
        <v>809</v>
      </c>
      <c r="F437" s="142">
        <v>809</v>
      </c>
      <c r="G437" s="142">
        <f>609</f>
        <v>609</v>
      </c>
      <c r="H437" s="142">
        <f>F437-G437</f>
        <v>200</v>
      </c>
    </row>
    <row r="438" spans="1:8">
      <c r="A438" s="121" t="s">
        <v>709</v>
      </c>
      <c r="B438" s="121"/>
      <c r="C438" s="121" t="s">
        <v>711</v>
      </c>
      <c r="D438" s="142">
        <v>50</v>
      </c>
      <c r="E438" s="142">
        <v>0</v>
      </c>
      <c r="F438" s="142">
        <v>0</v>
      </c>
      <c r="G438" s="142"/>
      <c r="H438" s="142"/>
    </row>
    <row r="439" spans="1:8">
      <c r="A439" s="121" t="s">
        <v>710</v>
      </c>
      <c r="B439" s="121"/>
      <c r="C439" s="121" t="s">
        <v>708</v>
      </c>
      <c r="D439" s="142">
        <v>17</v>
      </c>
      <c r="E439" s="142">
        <v>0</v>
      </c>
      <c r="F439" s="142">
        <v>0</v>
      </c>
      <c r="G439" s="142"/>
      <c r="H439" s="142"/>
    </row>
    <row r="440" spans="1:8">
      <c r="A440" s="124"/>
      <c r="B440" s="124"/>
      <c r="C440" s="124" t="s">
        <v>924</v>
      </c>
      <c r="D440" s="144">
        <f>SUM(D437:D439)</f>
        <v>925</v>
      </c>
      <c r="E440" s="144">
        <f>SUM(E437:E439)</f>
        <v>809</v>
      </c>
      <c r="F440" s="144">
        <f>SUM(F437:F439)</f>
        <v>809</v>
      </c>
      <c r="G440" s="144">
        <f>SUM(G437:G439)</f>
        <v>609</v>
      </c>
      <c r="H440" s="144">
        <f>SUM(H437:H439)</f>
        <v>200</v>
      </c>
    </row>
    <row r="441" spans="1:8" ht="25.5">
      <c r="A441" s="121">
        <v>15</v>
      </c>
      <c r="B441" s="121" t="s">
        <v>112</v>
      </c>
      <c r="C441" s="121"/>
      <c r="D441" s="142"/>
      <c r="E441" s="142"/>
      <c r="F441" s="142"/>
      <c r="G441" s="142"/>
      <c r="H441" s="142"/>
    </row>
    <row r="442" spans="1:8" ht="12" customHeight="1">
      <c r="A442" s="121" t="s">
        <v>706</v>
      </c>
      <c r="B442" s="121"/>
      <c r="C442" s="121" t="s">
        <v>113</v>
      </c>
      <c r="D442" s="142">
        <v>50</v>
      </c>
      <c r="E442" s="142">
        <v>50</v>
      </c>
      <c r="F442" s="142">
        <v>50</v>
      </c>
      <c r="G442" s="142">
        <f>24.26</f>
        <v>24.26</v>
      </c>
      <c r="H442" s="142"/>
    </row>
    <row r="443" spans="1:8">
      <c r="A443" s="121" t="s">
        <v>709</v>
      </c>
      <c r="B443" s="121"/>
      <c r="C443" s="121" t="s">
        <v>708</v>
      </c>
      <c r="D443" s="142">
        <v>9</v>
      </c>
      <c r="E443" s="142">
        <v>9</v>
      </c>
      <c r="F443" s="142">
        <v>9</v>
      </c>
      <c r="G443" s="142"/>
      <c r="H443" s="142"/>
    </row>
    <row r="444" spans="1:8">
      <c r="A444" s="121" t="s">
        <v>709</v>
      </c>
      <c r="B444" s="121"/>
      <c r="C444" s="121" t="s">
        <v>114</v>
      </c>
      <c r="D444" s="142">
        <v>300</v>
      </c>
      <c r="E444" s="142">
        <v>300</v>
      </c>
      <c r="F444" s="142">
        <v>300</v>
      </c>
      <c r="G444" s="142">
        <f>12.26+29.4</f>
        <v>41.66</v>
      </c>
      <c r="H444" s="142"/>
    </row>
    <row r="445" spans="1:8">
      <c r="A445" s="124"/>
      <c r="B445" s="124"/>
      <c r="C445" s="124" t="s">
        <v>924</v>
      </c>
      <c r="D445" s="144">
        <f>SUM(D442:D444)</f>
        <v>359</v>
      </c>
      <c r="E445" s="144">
        <f>SUM(E442:E444)</f>
        <v>359</v>
      </c>
      <c r="F445" s="144">
        <f>SUM(F442:F444)</f>
        <v>359</v>
      </c>
      <c r="G445" s="144">
        <f>SUM(G442:G444)</f>
        <v>65.92</v>
      </c>
      <c r="H445" s="144">
        <f>SUM(H442:H444)</f>
        <v>0</v>
      </c>
    </row>
    <row r="446" spans="1:8">
      <c r="A446" s="121">
        <v>16</v>
      </c>
      <c r="B446" s="121" t="s">
        <v>115</v>
      </c>
      <c r="C446" s="121"/>
      <c r="D446" s="142"/>
      <c r="E446" s="142"/>
      <c r="F446" s="142"/>
      <c r="G446" s="142"/>
      <c r="H446" s="142"/>
    </row>
    <row r="447" spans="1:8">
      <c r="A447" s="121" t="s">
        <v>706</v>
      </c>
      <c r="B447" s="121"/>
      <c r="C447" s="121" t="s">
        <v>460</v>
      </c>
      <c r="D447" s="142">
        <v>9</v>
      </c>
      <c r="E447" s="142">
        <v>9</v>
      </c>
      <c r="F447" s="142">
        <v>9</v>
      </c>
      <c r="G447" s="142"/>
      <c r="H447" s="142"/>
    </row>
    <row r="448" spans="1:8">
      <c r="A448" s="121" t="s">
        <v>709</v>
      </c>
      <c r="B448" s="121"/>
      <c r="C448" s="121" t="s">
        <v>592</v>
      </c>
      <c r="D448" s="142">
        <v>9</v>
      </c>
      <c r="E448" s="142">
        <v>0</v>
      </c>
      <c r="F448" s="142">
        <v>0</v>
      </c>
      <c r="G448" s="142"/>
      <c r="H448" s="142"/>
    </row>
    <row r="449" spans="1:8">
      <c r="A449" s="121" t="s">
        <v>710</v>
      </c>
      <c r="B449" s="121"/>
      <c r="C449" s="121" t="s">
        <v>116</v>
      </c>
      <c r="D449" s="142">
        <v>9</v>
      </c>
      <c r="E449" s="142">
        <v>0</v>
      </c>
      <c r="F449" s="142">
        <v>0</v>
      </c>
      <c r="G449" s="142"/>
      <c r="H449" s="142"/>
    </row>
    <row r="450" spans="1:8">
      <c r="A450" s="121" t="s">
        <v>712</v>
      </c>
      <c r="B450" s="121"/>
      <c r="C450" s="121" t="s">
        <v>117</v>
      </c>
      <c r="D450" s="142">
        <v>30</v>
      </c>
      <c r="E450" s="142">
        <v>30</v>
      </c>
      <c r="F450" s="142">
        <v>30</v>
      </c>
      <c r="G450" s="142">
        <f>30</f>
        <v>30</v>
      </c>
      <c r="H450" s="142"/>
    </row>
    <row r="451" spans="1:8">
      <c r="A451" s="124"/>
      <c r="B451" s="124"/>
      <c r="C451" s="124" t="s">
        <v>924</v>
      </c>
      <c r="D451" s="144">
        <f>SUM(D447:D450)</f>
        <v>57</v>
      </c>
      <c r="E451" s="144">
        <f>SUM(E447:E450)</f>
        <v>39</v>
      </c>
      <c r="F451" s="144">
        <f>SUM(F447:F450)</f>
        <v>39</v>
      </c>
      <c r="G451" s="144">
        <f>SUM(G447:G450)</f>
        <v>30</v>
      </c>
      <c r="H451" s="144">
        <f>SUM(H447:H450)</f>
        <v>0</v>
      </c>
    </row>
    <row r="452" spans="1:8">
      <c r="A452" s="121">
        <v>17</v>
      </c>
      <c r="B452" s="121" t="s">
        <v>896</v>
      </c>
      <c r="C452" s="121"/>
      <c r="D452" s="142"/>
      <c r="E452" s="142"/>
      <c r="F452" s="142"/>
      <c r="G452" s="142"/>
      <c r="H452" s="142"/>
    </row>
    <row r="453" spans="1:8">
      <c r="A453" s="121" t="s">
        <v>706</v>
      </c>
      <c r="B453" s="121"/>
      <c r="C453" s="121" t="s">
        <v>897</v>
      </c>
      <c r="D453" s="142">
        <v>100</v>
      </c>
      <c r="E453" s="142">
        <v>100</v>
      </c>
      <c r="F453" s="142">
        <v>100</v>
      </c>
      <c r="G453" s="142">
        <f>100</f>
        <v>100</v>
      </c>
      <c r="H453" s="142"/>
    </row>
    <row r="454" spans="1:8">
      <c r="A454" s="121" t="s">
        <v>709</v>
      </c>
      <c r="B454" s="121"/>
      <c r="C454" s="121" t="s">
        <v>172</v>
      </c>
      <c r="D454" s="142">
        <v>200</v>
      </c>
      <c r="E454" s="142">
        <v>200</v>
      </c>
      <c r="F454" s="142">
        <v>200</v>
      </c>
      <c r="G454" s="142">
        <f>200</f>
        <v>200</v>
      </c>
      <c r="H454" s="142">
        <f>0</f>
        <v>0</v>
      </c>
    </row>
    <row r="455" spans="1:8">
      <c r="A455" s="121" t="s">
        <v>710</v>
      </c>
      <c r="B455" s="121"/>
      <c r="C455" s="121" t="s">
        <v>361</v>
      </c>
      <c r="D455" s="142">
        <v>9</v>
      </c>
      <c r="E455" s="142">
        <v>9</v>
      </c>
      <c r="F455" s="142">
        <v>9</v>
      </c>
      <c r="G455" s="142"/>
      <c r="H455" s="142"/>
    </row>
    <row r="456" spans="1:8">
      <c r="A456" s="124"/>
      <c r="B456" s="124"/>
      <c r="C456" s="124" t="s">
        <v>924</v>
      </c>
      <c r="D456" s="144">
        <f>SUM(D453:D455)</f>
        <v>309</v>
      </c>
      <c r="E456" s="144">
        <f>SUM(E453:E455)</f>
        <v>309</v>
      </c>
      <c r="F456" s="144">
        <f>SUM(F453:F455)</f>
        <v>309</v>
      </c>
      <c r="G456" s="144">
        <f>SUM(G453:G455)</f>
        <v>300</v>
      </c>
      <c r="H456" s="144">
        <f>SUM(H453:H455)</f>
        <v>0</v>
      </c>
    </row>
    <row r="457" spans="1:8">
      <c r="A457" s="121">
        <v>18</v>
      </c>
      <c r="B457" s="121" t="s">
        <v>794</v>
      </c>
      <c r="C457" s="121"/>
      <c r="D457" s="142"/>
      <c r="E457" s="142"/>
      <c r="F457" s="142"/>
      <c r="G457" s="142"/>
      <c r="H457" s="142"/>
    </row>
    <row r="458" spans="1:8">
      <c r="A458" s="121" t="s">
        <v>706</v>
      </c>
      <c r="B458" s="121"/>
      <c r="C458" s="121" t="s">
        <v>711</v>
      </c>
      <c r="D458" s="142">
        <v>200</v>
      </c>
      <c r="E458" s="142">
        <v>0</v>
      </c>
      <c r="F458" s="142">
        <v>0</v>
      </c>
      <c r="G458" s="142"/>
      <c r="H458" s="142"/>
    </row>
    <row r="459" spans="1:8">
      <c r="A459" s="124"/>
      <c r="B459" s="124"/>
      <c r="C459" s="124" t="s">
        <v>924</v>
      </c>
      <c r="D459" s="144">
        <f>SUM(D458:D458)</f>
        <v>200</v>
      </c>
      <c r="E459" s="144">
        <f>SUM(E458:E458)</f>
        <v>0</v>
      </c>
      <c r="F459" s="144">
        <f>SUM(F458:F458)</f>
        <v>0</v>
      </c>
      <c r="G459" s="144">
        <f>SUM(G458:G458)</f>
        <v>0</v>
      </c>
      <c r="H459" s="144">
        <f>SUM(H458:H458)</f>
        <v>0</v>
      </c>
    </row>
    <row r="460" spans="1:8">
      <c r="A460" s="121">
        <v>19</v>
      </c>
      <c r="B460" s="121" t="s">
        <v>119</v>
      </c>
      <c r="C460" s="121"/>
      <c r="D460" s="142"/>
      <c r="E460" s="142"/>
      <c r="F460" s="142"/>
      <c r="G460" s="142"/>
      <c r="H460" s="142"/>
    </row>
    <row r="461" spans="1:8" s="139" customFormat="1" ht="25.5">
      <c r="A461" s="121" t="s">
        <v>706</v>
      </c>
      <c r="B461" s="121"/>
      <c r="C461" s="121" t="s">
        <v>120</v>
      </c>
      <c r="D461" s="142">
        <v>18</v>
      </c>
      <c r="E461" s="142">
        <v>18</v>
      </c>
      <c r="F461" s="142">
        <v>18</v>
      </c>
      <c r="G461" s="142"/>
      <c r="H461" s="142"/>
    </row>
    <row r="462" spans="1:8" s="139" customFormat="1">
      <c r="A462" s="121" t="s">
        <v>709</v>
      </c>
      <c r="B462" s="121"/>
      <c r="C462" s="121" t="s">
        <v>121</v>
      </c>
      <c r="D462" s="142">
        <v>50</v>
      </c>
      <c r="E462" s="142">
        <v>50</v>
      </c>
      <c r="F462" s="142">
        <v>50</v>
      </c>
      <c r="G462" s="142"/>
      <c r="H462" s="142"/>
    </row>
    <row r="463" spans="1:8" s="139" customFormat="1">
      <c r="A463" s="121" t="s">
        <v>710</v>
      </c>
      <c r="B463" s="121"/>
      <c r="C463" s="121" t="s">
        <v>122</v>
      </c>
      <c r="D463" s="142">
        <v>60</v>
      </c>
      <c r="E463" s="142">
        <v>0</v>
      </c>
      <c r="F463" s="142">
        <v>0</v>
      </c>
      <c r="G463" s="142"/>
      <c r="H463" s="142"/>
    </row>
    <row r="464" spans="1:8" s="139" customFormat="1">
      <c r="A464" s="121" t="s">
        <v>712</v>
      </c>
      <c r="B464" s="121"/>
      <c r="C464" s="121" t="s">
        <v>123</v>
      </c>
      <c r="D464" s="142">
        <v>170</v>
      </c>
      <c r="E464" s="142">
        <v>0</v>
      </c>
      <c r="F464" s="142">
        <v>0</v>
      </c>
      <c r="G464" s="142"/>
      <c r="H464" s="142"/>
    </row>
    <row r="465" spans="1:9" s="139" customFormat="1">
      <c r="A465" s="121" t="s">
        <v>713</v>
      </c>
      <c r="B465" s="121"/>
      <c r="C465" s="121" t="s">
        <v>124</v>
      </c>
      <c r="D465" s="142">
        <v>19</v>
      </c>
      <c r="E465" s="142">
        <v>0</v>
      </c>
      <c r="F465" s="142">
        <v>0</v>
      </c>
      <c r="G465" s="142"/>
      <c r="H465" s="142"/>
    </row>
    <row r="466" spans="1:9" s="139" customFormat="1">
      <c r="A466" s="124"/>
      <c r="B466" s="124"/>
      <c r="C466" s="124" t="s">
        <v>924</v>
      </c>
      <c r="D466" s="144">
        <f>SUM(D461:D465)</f>
        <v>317</v>
      </c>
      <c r="E466" s="144">
        <f>SUM(E460:E465)</f>
        <v>68</v>
      </c>
      <c r="F466" s="144">
        <f>SUM(F460:F465)</f>
        <v>68</v>
      </c>
      <c r="G466" s="144">
        <f>SUM(G460:G463)</f>
        <v>0</v>
      </c>
      <c r="H466" s="144">
        <f>SUM(H460:H463)</f>
        <v>0</v>
      </c>
    </row>
    <row r="467" spans="1:9">
      <c r="A467" s="121">
        <v>20</v>
      </c>
      <c r="B467" s="121" t="s">
        <v>381</v>
      </c>
      <c r="C467" s="121"/>
      <c r="D467" s="142"/>
      <c r="E467" s="142"/>
      <c r="F467" s="142"/>
      <c r="G467" s="142"/>
      <c r="H467" s="142"/>
    </row>
    <row r="468" spans="1:9">
      <c r="A468" s="121" t="s">
        <v>706</v>
      </c>
      <c r="B468" s="121"/>
      <c r="C468" s="121" t="s">
        <v>510</v>
      </c>
      <c r="D468" s="142">
        <v>27</v>
      </c>
      <c r="E468" s="142">
        <v>27</v>
      </c>
      <c r="F468" s="142">
        <v>27</v>
      </c>
      <c r="G468" s="142"/>
      <c r="H468" s="142"/>
    </row>
    <row r="469" spans="1:9">
      <c r="A469" s="121" t="s">
        <v>709</v>
      </c>
      <c r="B469" s="121"/>
      <c r="C469" s="121" t="s">
        <v>125</v>
      </c>
      <c r="D469" s="142">
        <v>70</v>
      </c>
      <c r="E469" s="142">
        <v>70</v>
      </c>
      <c r="F469" s="142">
        <v>70</v>
      </c>
      <c r="G469" s="142"/>
      <c r="H469" s="142"/>
      <c r="I469" t="s">
        <v>132</v>
      </c>
    </row>
    <row r="470" spans="1:9">
      <c r="A470" s="121" t="s">
        <v>710</v>
      </c>
      <c r="B470" s="121"/>
      <c r="C470" s="121" t="s">
        <v>135</v>
      </c>
      <c r="D470" s="142">
        <v>300</v>
      </c>
      <c r="E470" s="142">
        <v>559.6</v>
      </c>
      <c r="F470" s="142">
        <v>559.6</v>
      </c>
      <c r="G470" s="142"/>
      <c r="H470" s="142"/>
    </row>
    <row r="471" spans="1:9">
      <c r="A471" s="124"/>
      <c r="B471" s="124"/>
      <c r="C471" s="124" t="s">
        <v>924</v>
      </c>
      <c r="D471" s="144">
        <f>SUM(D468:D470)</f>
        <v>397</v>
      </c>
      <c r="E471" s="144">
        <f>SUM(E468:E470)</f>
        <v>656.6</v>
      </c>
      <c r="F471" s="144">
        <f>SUM(F468:F470)</f>
        <v>656.6</v>
      </c>
      <c r="G471" s="144">
        <f>SUM(G468:G470)</f>
        <v>0</v>
      </c>
      <c r="H471" s="144">
        <f>SUM(H468:H470)</f>
        <v>0</v>
      </c>
    </row>
    <row r="472" spans="1:9" s="183" customFormat="1">
      <c r="A472" s="168">
        <v>21</v>
      </c>
      <c r="B472" s="168" t="s">
        <v>320</v>
      </c>
      <c r="C472" s="168"/>
      <c r="D472" s="167"/>
      <c r="E472" s="167"/>
      <c r="F472" s="167"/>
      <c r="G472" s="167"/>
      <c r="H472" s="167"/>
    </row>
    <row r="473" spans="1:9" s="183" customFormat="1">
      <c r="A473" s="168" t="s">
        <v>710</v>
      </c>
      <c r="B473" s="168"/>
      <c r="C473" s="168" t="s">
        <v>131</v>
      </c>
      <c r="D473" s="167">
        <v>43.75</v>
      </c>
      <c r="E473" s="167">
        <v>43.75</v>
      </c>
      <c r="F473" s="167">
        <v>43.75</v>
      </c>
      <c r="G473" s="167"/>
      <c r="H473" s="167"/>
    </row>
    <row r="474" spans="1:9" s="183" customFormat="1">
      <c r="A474" s="124"/>
      <c r="B474" s="124"/>
      <c r="C474" s="124" t="s">
        <v>924</v>
      </c>
      <c r="D474" s="144">
        <f>SUM(D473)</f>
        <v>43.75</v>
      </c>
      <c r="E474" s="144">
        <f>SUM(E473)</f>
        <v>43.75</v>
      </c>
      <c r="F474" s="144">
        <f>SUM(F473)</f>
        <v>43.75</v>
      </c>
      <c r="G474" s="144">
        <f>SUM(G473)</f>
        <v>0</v>
      </c>
      <c r="H474" s="144">
        <f>SUM(H473)</f>
        <v>0</v>
      </c>
    </row>
    <row r="475" spans="1:9" s="183" customFormat="1">
      <c r="A475" s="168">
        <v>22</v>
      </c>
      <c r="B475" s="168" t="s">
        <v>816</v>
      </c>
      <c r="C475" s="168"/>
      <c r="D475" s="167"/>
      <c r="E475" s="167"/>
      <c r="F475" s="167"/>
      <c r="G475" s="167"/>
      <c r="H475" s="167"/>
    </row>
    <row r="476" spans="1:9" s="183" customFormat="1">
      <c r="A476" s="168" t="s">
        <v>710</v>
      </c>
      <c r="B476" s="168"/>
      <c r="C476" s="168" t="s">
        <v>678</v>
      </c>
      <c r="D476" s="167">
        <v>1760</v>
      </c>
      <c r="E476" s="167">
        <v>1760</v>
      </c>
      <c r="F476" s="167">
        <v>1760</v>
      </c>
      <c r="G476" s="167"/>
      <c r="H476" s="167"/>
    </row>
    <row r="477" spans="1:9" s="183" customFormat="1">
      <c r="A477" s="124"/>
      <c r="B477" s="124"/>
      <c r="C477" s="124" t="s">
        <v>924</v>
      </c>
      <c r="D477" s="144">
        <f>SUM(D476)</f>
        <v>1760</v>
      </c>
      <c r="E477" s="144">
        <f>SUM(E476)</f>
        <v>1760</v>
      </c>
      <c r="F477" s="144">
        <f>SUM(F476)</f>
        <v>1760</v>
      </c>
      <c r="G477" s="144">
        <f>SUM(G476)</f>
        <v>0</v>
      </c>
      <c r="H477" s="144">
        <f>SUM(H476)</f>
        <v>0</v>
      </c>
    </row>
    <row r="478" spans="1:9">
      <c r="A478" s="179" t="s">
        <v>159</v>
      </c>
      <c r="B478" s="180"/>
      <c r="C478" s="180"/>
      <c r="D478" s="181">
        <f>SUM(D477,D474,D471,D466,D459,D456,D451,D445,D440,D435,D429,D425,D421,D418,D415,D410,D406,D401,D397,D387,D384,D381)</f>
        <v>39383.25</v>
      </c>
      <c r="E478" s="181">
        <f>SUM(E477,E474,E471,E466,E459,E456,E451,E445,E440,E435,E429,E425,E421,E418,E415,E410,E406,E401,E397,E387,E384,E381)</f>
        <v>23525.85</v>
      </c>
      <c r="F478" s="181">
        <f>SUM(F477,F474,F471,F466,F459,F456,F451,F445,F440,F435,F429,F425,F421,F418,F415,F410,F406,F401,F397,F387,F384,F381)</f>
        <v>23525.85</v>
      </c>
      <c r="G478" s="181">
        <f>SUM(G477,G474,G471,G466,G459,G456,G451,G445,G440,G435,G429,G425,G421,G418,G415,G410,G406,G401,G397,G387,G384,G381)</f>
        <v>3006.92</v>
      </c>
      <c r="H478" s="181">
        <f>SUM(H477,H474,H471,H466,H459,H456,H451,H445,H440,H435,H429,H425,H421,H418,H415,H410,H406,H401,H397,H387,H384,H381)</f>
        <v>827.05</v>
      </c>
    </row>
    <row r="479" spans="1:9">
      <c r="A479" s="186" t="s">
        <v>141</v>
      </c>
      <c r="B479" s="187"/>
      <c r="C479" s="187"/>
      <c r="D479" s="188"/>
      <c r="E479" s="188"/>
      <c r="F479" s="189"/>
      <c r="G479" s="189"/>
      <c r="H479" s="189"/>
    </row>
    <row r="480" spans="1:9" ht="12.75" customHeight="1">
      <c r="A480" s="117"/>
      <c r="B480" s="118" t="s">
        <v>923</v>
      </c>
      <c r="C480" s="118" t="s">
        <v>699</v>
      </c>
      <c r="D480" s="140" t="s">
        <v>700</v>
      </c>
      <c r="E480" s="140" t="s">
        <v>701</v>
      </c>
      <c r="F480" s="141" t="s">
        <v>702</v>
      </c>
      <c r="G480" s="141" t="s">
        <v>703</v>
      </c>
      <c r="H480" s="141" t="s">
        <v>704</v>
      </c>
    </row>
    <row r="481" spans="1:8">
      <c r="A481" s="121">
        <v>1</v>
      </c>
      <c r="B481" s="121" t="s">
        <v>142</v>
      </c>
      <c r="C481" s="121"/>
      <c r="D481" s="142"/>
      <c r="E481" s="142"/>
      <c r="F481" s="142"/>
      <c r="G481" s="142"/>
      <c r="H481" s="142"/>
    </row>
    <row r="482" spans="1:8">
      <c r="A482" s="121" t="s">
        <v>706</v>
      </c>
      <c r="B482" s="121"/>
      <c r="C482" s="121" t="s">
        <v>143</v>
      </c>
      <c r="D482" s="142">
        <v>600</v>
      </c>
      <c r="E482" s="142">
        <v>0</v>
      </c>
      <c r="F482" s="142">
        <v>0</v>
      </c>
      <c r="G482" s="142"/>
      <c r="H482" s="142"/>
    </row>
    <row r="483" spans="1:8">
      <c r="A483" s="124"/>
      <c r="B483" s="124"/>
      <c r="C483" s="124" t="s">
        <v>924</v>
      </c>
      <c r="D483" s="144">
        <f>SUM(D482:D482)</f>
        <v>600</v>
      </c>
      <c r="E483" s="144">
        <f>SUM(E482:E482)</f>
        <v>0</v>
      </c>
      <c r="F483" s="144">
        <f>SUM(F482:F482)</f>
        <v>0</v>
      </c>
      <c r="G483" s="144">
        <f>SUM(G482:G482)</f>
        <v>0</v>
      </c>
      <c r="H483" s="144">
        <f>SUM(H482:H482)</f>
        <v>0</v>
      </c>
    </row>
    <row r="484" spans="1:8">
      <c r="A484" s="121">
        <v>2</v>
      </c>
      <c r="B484" s="121" t="s">
        <v>421</v>
      </c>
      <c r="C484" s="121"/>
      <c r="D484" s="142"/>
      <c r="E484" s="142"/>
      <c r="F484" s="142"/>
      <c r="G484" s="142"/>
      <c r="H484" s="142"/>
    </row>
    <row r="485" spans="1:8">
      <c r="A485" s="121" t="s">
        <v>706</v>
      </c>
      <c r="B485" s="121"/>
      <c r="C485" s="121" t="s">
        <v>749</v>
      </c>
      <c r="D485" s="142">
        <v>850</v>
      </c>
      <c r="E485" s="142">
        <v>850</v>
      </c>
      <c r="F485" s="142">
        <v>850</v>
      </c>
      <c r="G485" s="142">
        <f>140.87+19.08+112+25.51+198.88</f>
        <v>496.34</v>
      </c>
      <c r="H485" s="142">
        <f>F485-G485</f>
        <v>353.66</v>
      </c>
    </row>
    <row r="486" spans="1:8">
      <c r="A486" s="124"/>
      <c r="B486" s="124"/>
      <c r="C486" s="124" t="s">
        <v>924</v>
      </c>
      <c r="D486" s="144">
        <f>SUM(D485:D485)</f>
        <v>850</v>
      </c>
      <c r="E486" s="144">
        <f>SUM(E485:E485)</f>
        <v>850</v>
      </c>
      <c r="F486" s="144">
        <f>SUM(F485:F485)</f>
        <v>850</v>
      </c>
      <c r="G486" s="144">
        <f>SUM(G485:G485)</f>
        <v>496.34</v>
      </c>
      <c r="H486" s="144">
        <f>SUM(H485:H485)</f>
        <v>353.66</v>
      </c>
    </row>
    <row r="487" spans="1:8">
      <c r="A487" s="121">
        <v>3</v>
      </c>
      <c r="B487" s="121"/>
      <c r="C487" s="121"/>
      <c r="D487" s="142"/>
      <c r="E487" s="142"/>
      <c r="F487" s="142"/>
      <c r="G487" s="142"/>
      <c r="H487" s="142"/>
    </row>
    <row r="488" spans="1:8">
      <c r="A488" s="121" t="s">
        <v>706</v>
      </c>
      <c r="B488" s="121"/>
      <c r="C488" s="121" t="s">
        <v>144</v>
      </c>
      <c r="D488" s="142">
        <v>695</v>
      </c>
      <c r="E488" s="142">
        <v>0</v>
      </c>
      <c r="F488" s="142">
        <v>0</v>
      </c>
      <c r="G488" s="142"/>
      <c r="H488" s="142"/>
    </row>
    <row r="489" spans="1:8">
      <c r="A489" s="124"/>
      <c r="B489" s="124"/>
      <c r="C489" s="124" t="s">
        <v>924</v>
      </c>
      <c r="D489" s="144">
        <f>SUM(D488:D488)</f>
        <v>695</v>
      </c>
      <c r="E489" s="144">
        <f>SUM(E488:E488)</f>
        <v>0</v>
      </c>
      <c r="F489" s="144">
        <f>SUM(F488:F488)</f>
        <v>0</v>
      </c>
      <c r="G489" s="144">
        <f>SUM(G488:G488)</f>
        <v>0</v>
      </c>
      <c r="H489" s="144">
        <f>SUM(H488:H488)</f>
        <v>0</v>
      </c>
    </row>
    <row r="490" spans="1:8">
      <c r="A490" s="121">
        <v>4</v>
      </c>
      <c r="B490" s="121" t="s">
        <v>533</v>
      </c>
      <c r="C490" s="121"/>
      <c r="D490" s="142"/>
      <c r="E490" s="142"/>
      <c r="F490" s="142"/>
      <c r="G490" s="142"/>
      <c r="H490" s="142"/>
    </row>
    <row r="491" spans="1:8">
      <c r="A491" s="121" t="s">
        <v>706</v>
      </c>
      <c r="B491" s="121"/>
      <c r="C491" s="121" t="s">
        <v>145</v>
      </c>
      <c r="D491" s="142">
        <v>62</v>
      </c>
      <c r="E491" s="142">
        <v>0</v>
      </c>
      <c r="F491" s="142">
        <v>0</v>
      </c>
      <c r="G491" s="142"/>
      <c r="H491" s="142"/>
    </row>
    <row r="492" spans="1:8">
      <c r="A492" s="124"/>
      <c r="B492" s="124"/>
      <c r="C492" s="124" t="s">
        <v>924</v>
      </c>
      <c r="D492" s="144">
        <f>SUM(D491:D491)</f>
        <v>62</v>
      </c>
      <c r="E492" s="144">
        <f>SUM(E491:E491)</f>
        <v>0</v>
      </c>
      <c r="F492" s="144">
        <f>SUM(F491:F491)</f>
        <v>0</v>
      </c>
      <c r="G492" s="144">
        <f>SUM(G491:G491)</f>
        <v>0</v>
      </c>
      <c r="H492" s="144">
        <f>SUM(H491:H491)</f>
        <v>0</v>
      </c>
    </row>
    <row r="493" spans="1:8">
      <c r="A493" s="121">
        <v>5</v>
      </c>
      <c r="B493" s="121" t="s">
        <v>146</v>
      </c>
      <c r="C493" s="121"/>
      <c r="D493" s="142"/>
      <c r="E493" s="142"/>
      <c r="F493" s="142"/>
      <c r="G493" s="142"/>
      <c r="H493" s="142"/>
    </row>
    <row r="494" spans="1:8">
      <c r="A494" s="121" t="s">
        <v>706</v>
      </c>
      <c r="B494" s="121"/>
      <c r="C494" s="121" t="s">
        <v>171</v>
      </c>
      <c r="D494" s="142">
        <v>214.5</v>
      </c>
      <c r="E494" s="142">
        <v>214.5</v>
      </c>
      <c r="F494" s="142">
        <v>214.5</v>
      </c>
      <c r="G494" s="142"/>
      <c r="H494" s="142"/>
    </row>
    <row r="495" spans="1:8">
      <c r="A495" s="121" t="s">
        <v>709</v>
      </c>
      <c r="B495" s="121"/>
      <c r="C495" s="121" t="s">
        <v>147</v>
      </c>
      <c r="D495" s="142">
        <v>262</v>
      </c>
      <c r="E495" s="142">
        <v>262</v>
      </c>
      <c r="F495" s="142">
        <v>262</v>
      </c>
      <c r="G495" s="142"/>
      <c r="H495" s="142"/>
    </row>
    <row r="496" spans="1:8">
      <c r="A496" s="121" t="s">
        <v>710</v>
      </c>
      <c r="B496" s="121"/>
      <c r="C496" s="121" t="s">
        <v>148</v>
      </c>
      <c r="D496" s="142">
        <v>37.549999999999997</v>
      </c>
      <c r="E496" s="142">
        <v>0</v>
      </c>
      <c r="F496" s="142">
        <v>0</v>
      </c>
      <c r="G496" s="142"/>
      <c r="H496" s="142"/>
    </row>
    <row r="497" spans="1:8">
      <c r="A497" s="124"/>
      <c r="B497" s="124"/>
      <c r="C497" s="124" t="s">
        <v>924</v>
      </c>
      <c r="D497" s="144">
        <f>SUM(D494:D496)</f>
        <v>514.04999999999995</v>
      </c>
      <c r="E497" s="144">
        <f>SUM(E494:E496)</f>
        <v>476.5</v>
      </c>
      <c r="F497" s="144">
        <f>SUM(F494:F496)</f>
        <v>476.5</v>
      </c>
      <c r="G497" s="144">
        <f>SUM(G494:G496)</f>
        <v>0</v>
      </c>
      <c r="H497" s="144">
        <f>SUM(H494:H496)</f>
        <v>0</v>
      </c>
    </row>
    <row r="498" spans="1:8">
      <c r="A498" s="121">
        <v>6</v>
      </c>
      <c r="B498" s="121" t="s">
        <v>182</v>
      </c>
      <c r="C498" s="121"/>
      <c r="D498" s="142"/>
      <c r="E498" s="142"/>
      <c r="F498" s="142"/>
      <c r="G498" s="142"/>
      <c r="H498" s="142"/>
    </row>
    <row r="499" spans="1:8">
      <c r="A499" s="121" t="s">
        <v>706</v>
      </c>
      <c r="B499" s="121"/>
      <c r="C499" s="121" t="s">
        <v>183</v>
      </c>
      <c r="D499" s="142">
        <v>466.56</v>
      </c>
      <c r="E499" s="142">
        <v>466.56</v>
      </c>
      <c r="F499" s="142">
        <v>466.56</v>
      </c>
      <c r="G499" s="142">
        <f>466.56</f>
        <v>466.56</v>
      </c>
      <c r="H499" s="142">
        <f>0</f>
        <v>0</v>
      </c>
    </row>
    <row r="500" spans="1:8">
      <c r="A500" s="124"/>
      <c r="B500" s="124"/>
      <c r="C500" s="124" t="s">
        <v>924</v>
      </c>
      <c r="D500" s="144">
        <f>SUM(D499:D499)</f>
        <v>466.56</v>
      </c>
      <c r="E500" s="144">
        <f>SUM(E499:E499)</f>
        <v>466.56</v>
      </c>
      <c r="F500" s="144">
        <f>SUM(F499:F499)</f>
        <v>466.56</v>
      </c>
      <c r="G500" s="144">
        <f>SUM(G499:G499)</f>
        <v>466.56</v>
      </c>
      <c r="H500" s="144">
        <f>SUM(H499:H499)</f>
        <v>0</v>
      </c>
    </row>
    <row r="501" spans="1:8">
      <c r="A501" s="121">
        <v>7</v>
      </c>
      <c r="B501" s="121" t="s">
        <v>932</v>
      </c>
      <c r="C501" s="121"/>
      <c r="D501" s="142"/>
      <c r="E501" s="142"/>
      <c r="F501" s="142"/>
      <c r="G501" s="142"/>
      <c r="H501" s="142"/>
    </row>
    <row r="502" spans="1:8">
      <c r="A502" s="121" t="s">
        <v>706</v>
      </c>
      <c r="B502" s="121"/>
      <c r="C502" s="121" t="s">
        <v>149</v>
      </c>
      <c r="D502" s="142">
        <v>100</v>
      </c>
      <c r="E502" s="142">
        <v>50</v>
      </c>
      <c r="F502" s="142">
        <v>50</v>
      </c>
      <c r="G502" s="142"/>
      <c r="H502" s="142"/>
    </row>
    <row r="503" spans="1:8">
      <c r="A503" s="121" t="s">
        <v>709</v>
      </c>
      <c r="B503" s="121"/>
      <c r="C503" s="121" t="s">
        <v>160</v>
      </c>
      <c r="D503" s="142">
        <v>750</v>
      </c>
      <c r="E503" s="142">
        <v>500</v>
      </c>
      <c r="F503" s="142">
        <v>500</v>
      </c>
      <c r="G503" s="142"/>
      <c r="H503" s="142"/>
    </row>
    <row r="504" spans="1:8">
      <c r="A504" s="124"/>
      <c r="B504" s="124"/>
      <c r="C504" s="124" t="s">
        <v>924</v>
      </c>
      <c r="D504" s="144">
        <f>SUM(D502:D503)</f>
        <v>850</v>
      </c>
      <c r="E504" s="144">
        <f>SUM(E502:E503)</f>
        <v>550</v>
      </c>
      <c r="F504" s="144">
        <f>SUM(F502:F503)</f>
        <v>550</v>
      </c>
      <c r="G504" s="144">
        <f>SUM(G502:G503)</f>
        <v>0</v>
      </c>
      <c r="H504" s="144">
        <f>SUM(H502:H503)</f>
        <v>0</v>
      </c>
    </row>
    <row r="505" spans="1:8">
      <c r="A505" s="121">
        <v>8</v>
      </c>
      <c r="B505" s="121" t="s">
        <v>150</v>
      </c>
      <c r="C505" s="121"/>
      <c r="D505" s="142"/>
      <c r="E505" s="142"/>
      <c r="F505" s="142"/>
      <c r="G505" s="142"/>
      <c r="H505" s="142"/>
    </row>
    <row r="506" spans="1:8">
      <c r="A506" s="121" t="s">
        <v>706</v>
      </c>
      <c r="B506" s="121"/>
      <c r="C506" s="121" t="s">
        <v>749</v>
      </c>
      <c r="D506" s="142">
        <v>350</v>
      </c>
      <c r="E506" s="142" t="s">
        <v>862</v>
      </c>
      <c r="F506" s="142" t="s">
        <v>862</v>
      </c>
      <c r="G506" s="142"/>
      <c r="H506" s="142"/>
    </row>
    <row r="507" spans="1:8">
      <c r="A507" s="121" t="s">
        <v>709</v>
      </c>
      <c r="B507" s="121"/>
      <c r="C507" s="121" t="s">
        <v>516</v>
      </c>
      <c r="D507" s="142">
        <v>50</v>
      </c>
      <c r="E507" s="142" t="s">
        <v>862</v>
      </c>
      <c r="F507" s="142" t="s">
        <v>862</v>
      </c>
      <c r="G507" s="142"/>
      <c r="H507" s="142"/>
    </row>
    <row r="508" spans="1:8">
      <c r="A508" s="121" t="s">
        <v>710</v>
      </c>
      <c r="B508" s="121"/>
      <c r="C508" s="121" t="s">
        <v>708</v>
      </c>
      <c r="D508" s="142">
        <v>9</v>
      </c>
      <c r="E508" s="142" t="s">
        <v>862</v>
      </c>
      <c r="F508" s="142" t="s">
        <v>862</v>
      </c>
      <c r="G508" s="142"/>
      <c r="H508" s="142"/>
    </row>
    <row r="509" spans="1:8">
      <c r="A509" s="121" t="s">
        <v>712</v>
      </c>
      <c r="B509" s="121"/>
      <c r="C509" s="121" t="s">
        <v>711</v>
      </c>
      <c r="D509" s="142">
        <v>1000</v>
      </c>
      <c r="E509" s="142" t="s">
        <v>862</v>
      </c>
      <c r="F509" s="142" t="s">
        <v>862</v>
      </c>
      <c r="G509" s="142"/>
      <c r="H509" s="142"/>
    </row>
    <row r="510" spans="1:8">
      <c r="A510" s="124"/>
      <c r="B510" s="124"/>
      <c r="C510" s="124" t="s">
        <v>924</v>
      </c>
      <c r="D510" s="144">
        <f>SUM(D506:D509)</f>
        <v>1409</v>
      </c>
      <c r="E510" s="144">
        <f>SUM(E506:E509)</f>
        <v>0</v>
      </c>
      <c r="F510" s="144">
        <f>SUM(F506:F509)</f>
        <v>0</v>
      </c>
      <c r="G510" s="144">
        <f>SUM(G506:G509)</f>
        <v>0</v>
      </c>
      <c r="H510" s="144">
        <f>SUM(H506:H509)</f>
        <v>0</v>
      </c>
    </row>
    <row r="511" spans="1:8" ht="25.5">
      <c r="A511" s="121">
        <v>9</v>
      </c>
      <c r="B511" s="121" t="s">
        <v>14</v>
      </c>
      <c r="C511" s="121"/>
      <c r="D511" s="142"/>
      <c r="E511" s="142"/>
      <c r="F511" s="142"/>
      <c r="G511" s="142"/>
      <c r="H511" s="142"/>
    </row>
    <row r="512" spans="1:8">
      <c r="A512" s="121" t="s">
        <v>706</v>
      </c>
      <c r="B512" s="121"/>
      <c r="C512" s="121" t="s">
        <v>515</v>
      </c>
      <c r="D512" s="142">
        <v>210</v>
      </c>
      <c r="E512" s="142">
        <v>210</v>
      </c>
      <c r="F512" s="142">
        <v>210</v>
      </c>
      <c r="G512" s="142">
        <f>72.75+137.25</f>
        <v>210</v>
      </c>
      <c r="H512" s="142">
        <f>F512-G512</f>
        <v>0</v>
      </c>
    </row>
    <row r="513" spans="1:8">
      <c r="A513" s="121" t="s">
        <v>709</v>
      </c>
      <c r="B513" s="121"/>
      <c r="C513" s="121" t="s">
        <v>151</v>
      </c>
      <c r="D513" s="142">
        <v>50</v>
      </c>
      <c r="E513" s="142" t="s">
        <v>862</v>
      </c>
      <c r="F513" s="142" t="s">
        <v>862</v>
      </c>
      <c r="G513" s="142"/>
      <c r="H513" s="142"/>
    </row>
    <row r="514" spans="1:8">
      <c r="A514" s="124"/>
      <c r="B514" s="124"/>
      <c r="C514" s="124" t="s">
        <v>924</v>
      </c>
      <c r="D514" s="144">
        <f>SUM(D512:D513)</f>
        <v>260</v>
      </c>
      <c r="E514" s="144">
        <f>SUM(E512:E513)</f>
        <v>210</v>
      </c>
      <c r="F514" s="144">
        <f>SUM(F512:F513)</f>
        <v>210</v>
      </c>
      <c r="G514" s="144">
        <f>SUM(G512:G513)</f>
        <v>210</v>
      </c>
      <c r="H514" s="144">
        <f>SUM(H512:H513)</f>
        <v>0</v>
      </c>
    </row>
    <row r="515" spans="1:8">
      <c r="A515" s="121">
        <v>10</v>
      </c>
      <c r="B515" s="121" t="s">
        <v>803</v>
      </c>
      <c r="C515" s="121"/>
      <c r="D515" s="142"/>
      <c r="E515" s="142"/>
      <c r="F515" s="142"/>
      <c r="G515" s="142"/>
      <c r="H515" s="142"/>
    </row>
    <row r="516" spans="1:8">
      <c r="A516" s="121" t="s">
        <v>706</v>
      </c>
      <c r="B516" s="121"/>
      <c r="C516" s="121" t="s">
        <v>161</v>
      </c>
      <c r="D516" s="142">
        <v>655</v>
      </c>
      <c r="E516" s="142">
        <v>655</v>
      </c>
      <c r="F516" s="142"/>
      <c r="G516" s="142"/>
      <c r="H516" s="142"/>
    </row>
    <row r="517" spans="1:8">
      <c r="A517" s="124"/>
      <c r="B517" s="124"/>
      <c r="C517" s="124" t="s">
        <v>924</v>
      </c>
      <c r="D517" s="144">
        <f>SUM(D516:D516)</f>
        <v>655</v>
      </c>
      <c r="E517" s="144">
        <f>SUM(E516:E516)</f>
        <v>655</v>
      </c>
      <c r="F517" s="144">
        <f>SUM(F516:F516)</f>
        <v>0</v>
      </c>
      <c r="G517" s="144">
        <f>SUM(G516:G516)</f>
        <v>0</v>
      </c>
      <c r="H517" s="144">
        <f>SUM(H516:H516)</f>
        <v>0</v>
      </c>
    </row>
    <row r="518" spans="1:8">
      <c r="A518" s="121">
        <v>11</v>
      </c>
      <c r="B518" s="121" t="s">
        <v>152</v>
      </c>
      <c r="C518" s="121"/>
      <c r="D518" s="142"/>
      <c r="E518" s="142"/>
      <c r="F518" s="142"/>
      <c r="G518" s="142"/>
      <c r="H518" s="142"/>
    </row>
    <row r="519" spans="1:8">
      <c r="A519" s="121" t="s">
        <v>706</v>
      </c>
      <c r="B519" s="121"/>
      <c r="C519" s="121" t="s">
        <v>153</v>
      </c>
      <c r="D519" s="142">
        <v>200</v>
      </c>
      <c r="E519" s="142">
        <v>200</v>
      </c>
      <c r="F519" s="142">
        <v>200</v>
      </c>
      <c r="G519" s="142">
        <f>200</f>
        <v>200</v>
      </c>
      <c r="H519" s="142">
        <f>0</f>
        <v>0</v>
      </c>
    </row>
    <row r="520" spans="1:8">
      <c r="A520" s="124"/>
      <c r="B520" s="124"/>
      <c r="C520" s="124" t="s">
        <v>924</v>
      </c>
      <c r="D520" s="144">
        <f>SUM(D519:D519)</f>
        <v>200</v>
      </c>
      <c r="E520" s="144">
        <f>SUM(E519:E519)</f>
        <v>200</v>
      </c>
      <c r="F520" s="144">
        <f>SUM(F519:F519)</f>
        <v>200</v>
      </c>
      <c r="G520" s="144">
        <f>SUM(G519:G519)</f>
        <v>200</v>
      </c>
      <c r="H520" s="144">
        <f>SUM(H519:H519)</f>
        <v>0</v>
      </c>
    </row>
    <row r="521" spans="1:8">
      <c r="A521" s="121">
        <v>12</v>
      </c>
      <c r="B521" s="121" t="s">
        <v>941</v>
      </c>
      <c r="C521" s="121"/>
      <c r="D521" s="142"/>
      <c r="E521" s="142"/>
      <c r="F521" s="142"/>
      <c r="G521" s="142"/>
      <c r="H521" s="142"/>
    </row>
    <row r="522" spans="1:8">
      <c r="A522" s="121" t="s">
        <v>706</v>
      </c>
      <c r="B522" s="121"/>
      <c r="C522" s="121" t="s">
        <v>154</v>
      </c>
      <c r="D522" s="142">
        <v>1200</v>
      </c>
      <c r="E522" s="142">
        <v>1200</v>
      </c>
      <c r="F522" s="142">
        <v>1200</v>
      </c>
      <c r="G522" s="142"/>
      <c r="H522" s="142"/>
    </row>
    <row r="523" spans="1:8">
      <c r="A523" s="121" t="s">
        <v>709</v>
      </c>
      <c r="B523" s="121"/>
      <c r="C523" s="121" t="s">
        <v>155</v>
      </c>
      <c r="D523" s="142">
        <v>100</v>
      </c>
      <c r="E523" s="142">
        <v>0</v>
      </c>
      <c r="F523" s="142">
        <v>0</v>
      </c>
      <c r="G523" s="142"/>
      <c r="H523" s="142"/>
    </row>
    <row r="524" spans="1:8">
      <c r="A524" s="121" t="s">
        <v>710</v>
      </c>
      <c r="B524" s="121"/>
      <c r="C524" s="121" t="s">
        <v>708</v>
      </c>
      <c r="D524" s="142">
        <v>10</v>
      </c>
      <c r="E524" s="142">
        <v>9</v>
      </c>
      <c r="F524" s="142">
        <v>9</v>
      </c>
      <c r="G524" s="142"/>
      <c r="H524" s="142"/>
    </row>
    <row r="525" spans="1:8">
      <c r="A525" s="124"/>
      <c r="B525" s="124"/>
      <c r="C525" s="124" t="s">
        <v>924</v>
      </c>
      <c r="D525" s="144">
        <f>SUM(D522:D524)</f>
        <v>1310</v>
      </c>
      <c r="E525" s="144">
        <f>SUM(E522:E524)</f>
        <v>1209</v>
      </c>
      <c r="F525" s="144">
        <f>SUM(F522:F524)</f>
        <v>1209</v>
      </c>
      <c r="G525" s="144">
        <f>SUM(G522:G524)</f>
        <v>0</v>
      </c>
      <c r="H525" s="144">
        <f>SUM(H522:H524)</f>
        <v>0</v>
      </c>
    </row>
    <row r="526" spans="1:8">
      <c r="A526" s="121">
        <v>13</v>
      </c>
      <c r="B526" s="121" t="s">
        <v>566</v>
      </c>
      <c r="C526" s="121"/>
      <c r="D526" s="142"/>
      <c r="E526" s="142"/>
      <c r="F526" s="142"/>
      <c r="G526" s="142"/>
      <c r="H526" s="142"/>
    </row>
    <row r="527" spans="1:8">
      <c r="A527" s="121" t="s">
        <v>706</v>
      </c>
      <c r="B527" s="121"/>
      <c r="C527" s="121" t="s">
        <v>156</v>
      </c>
      <c r="D527" s="142">
        <v>10</v>
      </c>
      <c r="E527" s="142">
        <v>10</v>
      </c>
      <c r="F527" s="142">
        <v>10</v>
      </c>
      <c r="G527" s="142">
        <f>10</f>
        <v>10</v>
      </c>
      <c r="H527" s="142"/>
    </row>
    <row r="528" spans="1:8">
      <c r="A528" s="121" t="s">
        <v>709</v>
      </c>
      <c r="B528" s="121"/>
      <c r="C528" s="121" t="s">
        <v>157</v>
      </c>
      <c r="D528" s="142">
        <v>780</v>
      </c>
      <c r="E528" s="142">
        <v>780</v>
      </c>
      <c r="F528" s="142">
        <v>780</v>
      </c>
      <c r="G528" s="142"/>
      <c r="H528" s="142"/>
    </row>
    <row r="529" spans="1:8">
      <c r="A529" s="124"/>
      <c r="B529" s="124"/>
      <c r="C529" s="124" t="s">
        <v>924</v>
      </c>
      <c r="D529" s="144">
        <f>SUM(D527:D528)</f>
        <v>790</v>
      </c>
      <c r="E529" s="144">
        <f>SUM(E527:E528)</f>
        <v>790</v>
      </c>
      <c r="F529" s="144">
        <f>SUM(F527:F528)</f>
        <v>790</v>
      </c>
      <c r="G529" s="144">
        <f>SUM(G527:G528)</f>
        <v>10</v>
      </c>
      <c r="H529" s="144">
        <f>SUM(H527:H528)</f>
        <v>0</v>
      </c>
    </row>
    <row r="530" spans="1:8" s="194" customFormat="1">
      <c r="A530" s="168">
        <v>14</v>
      </c>
      <c r="B530" s="193" t="s">
        <v>115</v>
      </c>
      <c r="C530" s="168"/>
      <c r="D530" s="167"/>
      <c r="E530" s="167"/>
      <c r="F530" s="167"/>
      <c r="G530" s="167"/>
      <c r="H530" s="167"/>
    </row>
    <row r="531" spans="1:8" s="194" customFormat="1">
      <c r="A531" s="168" t="s">
        <v>706</v>
      </c>
      <c r="B531" s="168"/>
      <c r="C531" s="168" t="s">
        <v>165</v>
      </c>
      <c r="D531" s="195">
        <v>820</v>
      </c>
      <c r="E531" s="167">
        <v>820</v>
      </c>
      <c r="F531" s="167">
        <v>820</v>
      </c>
      <c r="G531" s="167">
        <f>100</f>
        <v>100</v>
      </c>
      <c r="H531" s="167"/>
    </row>
    <row r="532" spans="1:8" s="194" customFormat="1">
      <c r="A532" s="168" t="s">
        <v>709</v>
      </c>
      <c r="B532" s="168"/>
      <c r="C532" s="168" t="s">
        <v>162</v>
      </c>
      <c r="D532" s="167">
        <v>1000</v>
      </c>
      <c r="E532" s="167">
        <v>0</v>
      </c>
      <c r="F532" s="167">
        <v>0</v>
      </c>
      <c r="G532" s="167"/>
      <c r="H532" s="167"/>
    </row>
    <row r="533" spans="1:8">
      <c r="A533" s="124"/>
      <c r="B533" s="124"/>
      <c r="C533" s="124" t="s">
        <v>924</v>
      </c>
      <c r="D533" s="144">
        <f>SUM(D531:D532)</f>
        <v>1820</v>
      </c>
      <c r="E533" s="144">
        <f>SUM(E531:E532)</f>
        <v>820</v>
      </c>
      <c r="F533" s="144">
        <f>SUM(F531:F532)</f>
        <v>820</v>
      </c>
      <c r="G533" s="144">
        <f>SUM(G531:G532)</f>
        <v>100</v>
      </c>
      <c r="H533" s="144">
        <f>SUM(H531:H532)</f>
        <v>0</v>
      </c>
    </row>
    <row r="534" spans="1:8" s="157" customFormat="1">
      <c r="A534" s="156">
        <v>15</v>
      </c>
      <c r="B534" s="156" t="s">
        <v>163</v>
      </c>
      <c r="C534" s="156"/>
      <c r="D534" s="143"/>
      <c r="E534" s="143"/>
      <c r="F534" s="143"/>
      <c r="G534" s="143"/>
      <c r="H534" s="143"/>
    </row>
    <row r="535" spans="1:8" s="157" customFormat="1">
      <c r="A535" s="156" t="s">
        <v>706</v>
      </c>
      <c r="C535" s="156" t="s">
        <v>164</v>
      </c>
      <c r="D535" s="143">
        <v>420</v>
      </c>
      <c r="E535" s="143">
        <v>420</v>
      </c>
      <c r="F535" s="143">
        <v>420</v>
      </c>
      <c r="G535" s="143"/>
      <c r="H535" s="143"/>
    </row>
    <row r="536" spans="1:8">
      <c r="A536" s="124"/>
      <c r="B536" s="124"/>
      <c r="C536" s="124" t="s">
        <v>924</v>
      </c>
      <c r="D536" s="144">
        <f>SUM(D534:D535)</f>
        <v>420</v>
      </c>
      <c r="E536" s="144">
        <f>SUM(E534:E535)</f>
        <v>420</v>
      </c>
      <c r="F536" s="144">
        <f>SUM(F534:F535)</f>
        <v>420</v>
      </c>
      <c r="G536" s="144">
        <f>SUM(G534:G535)</f>
        <v>0</v>
      </c>
      <c r="H536" s="144">
        <f>SUM(H534:H535)</f>
        <v>0</v>
      </c>
    </row>
    <row r="537" spans="1:8" s="157" customFormat="1">
      <c r="A537" s="156">
        <v>16</v>
      </c>
      <c r="B537" s="156" t="s">
        <v>15</v>
      </c>
      <c r="C537" s="156"/>
      <c r="D537" s="143"/>
      <c r="E537" s="143"/>
      <c r="F537" s="143"/>
      <c r="G537" s="143"/>
      <c r="H537" s="143"/>
    </row>
    <row r="538" spans="1:8" s="157" customFormat="1">
      <c r="A538" s="156" t="s">
        <v>706</v>
      </c>
      <c r="C538" s="156" t="s">
        <v>16</v>
      </c>
      <c r="D538" s="143">
        <v>150</v>
      </c>
      <c r="E538" s="143">
        <v>150</v>
      </c>
      <c r="F538" s="143">
        <v>150</v>
      </c>
      <c r="G538" s="143"/>
      <c r="H538" s="143"/>
    </row>
    <row r="539" spans="1:8">
      <c r="A539" s="124"/>
      <c r="B539" s="124"/>
      <c r="C539" s="124" t="s">
        <v>924</v>
      </c>
      <c r="D539" s="144">
        <f>SUM(D537:D538)</f>
        <v>150</v>
      </c>
      <c r="E539" s="144">
        <f>SUM(E537:E538)</f>
        <v>150</v>
      </c>
      <c r="F539" s="144">
        <f>SUM(F537:F538)</f>
        <v>150</v>
      </c>
      <c r="G539" s="144">
        <f>SUM(G537:G538)</f>
        <v>0</v>
      </c>
      <c r="H539" s="144">
        <f>SUM(H537:H538)</f>
        <v>0</v>
      </c>
    </row>
    <row r="540" spans="1:8" s="191" customFormat="1">
      <c r="A540" s="190" t="s">
        <v>158</v>
      </c>
      <c r="B540" s="187"/>
      <c r="C540" s="187"/>
      <c r="D540" s="188">
        <f>SUM(D539,D536,D533,D529,D525,D520,D517,D514,D510,D504,D500,D497,D492,D489,D486,D483)</f>
        <v>11051.609999999999</v>
      </c>
      <c r="E540" s="188">
        <f>SUM(E539,E536,E533,E529,E525,E520,E517,E514,E510,E504,E500,E497,E492,E489,E486,E483)</f>
        <v>6797.06</v>
      </c>
      <c r="F540" s="188">
        <f>SUM(F539,F536,F533,F529,F525,F520,F517,F514,F510,F504,F500,F497,F492,F489,F486,F483)</f>
        <v>6142.06</v>
      </c>
      <c r="G540" s="188">
        <f>SUM(G539,G536,G533,G529,G525,G520,G517,G514,G510,G504,G500,G497,G492,G489,G486,G483)</f>
        <v>1482.8999999999999</v>
      </c>
      <c r="H540" s="188">
        <f>SUM(H539,H536,H533,H529,H525,H520,H517,H514,H510,H504,H500,H497,H492,H489,H486,H483)</f>
        <v>353.66</v>
      </c>
    </row>
    <row r="541" spans="1:8" ht="12" customHeight="1">
      <c r="A541" s="196" t="s">
        <v>17</v>
      </c>
      <c r="B541" s="197"/>
      <c r="C541" s="197"/>
      <c r="D541" s="198"/>
      <c r="E541" s="198"/>
      <c r="F541" s="199"/>
      <c r="G541" s="199"/>
      <c r="H541" s="199"/>
    </row>
    <row r="542" spans="1:8" ht="15.75" customHeight="1">
      <c r="A542" s="117"/>
      <c r="B542" s="118" t="s">
        <v>923</v>
      </c>
      <c r="C542" s="118" t="s">
        <v>699</v>
      </c>
      <c r="D542" s="140" t="s">
        <v>700</v>
      </c>
      <c r="E542" s="140" t="s">
        <v>701</v>
      </c>
      <c r="F542" s="141" t="s">
        <v>702</v>
      </c>
      <c r="G542" s="141" t="s">
        <v>703</v>
      </c>
      <c r="H542" s="141" t="s">
        <v>704</v>
      </c>
    </row>
    <row r="543" spans="1:8">
      <c r="A543" s="121">
        <v>1</v>
      </c>
      <c r="B543" s="121" t="s">
        <v>725</v>
      </c>
      <c r="C543" s="121"/>
      <c r="D543" s="142"/>
      <c r="E543" s="142"/>
      <c r="F543" s="142"/>
      <c r="G543" s="142"/>
      <c r="H543" s="142"/>
    </row>
    <row r="544" spans="1:8">
      <c r="A544" s="121" t="s">
        <v>706</v>
      </c>
      <c r="B544" s="121"/>
      <c r="C544" s="121" t="s">
        <v>18</v>
      </c>
      <c r="D544" s="142">
        <v>56</v>
      </c>
      <c r="E544" s="142">
        <v>56</v>
      </c>
      <c r="F544" s="142">
        <v>56</v>
      </c>
      <c r="G544" s="142"/>
      <c r="H544" s="142"/>
    </row>
    <row r="545" spans="1:8">
      <c r="A545" s="124"/>
      <c r="B545" s="124"/>
      <c r="C545" s="124" t="s">
        <v>924</v>
      </c>
      <c r="D545" s="144">
        <f>SUM(D544:D544)</f>
        <v>56</v>
      </c>
      <c r="E545" s="144">
        <f>SUM(E544:E544)</f>
        <v>56</v>
      </c>
      <c r="F545" s="144">
        <f>SUM(F544:F544)</f>
        <v>56</v>
      </c>
      <c r="G545" s="144">
        <f>SUM(G544:G544)</f>
        <v>0</v>
      </c>
      <c r="H545" s="144">
        <f>SUM(H544:H544)</f>
        <v>0</v>
      </c>
    </row>
    <row r="546" spans="1:8">
      <c r="A546" s="121">
        <v>2</v>
      </c>
      <c r="B546" s="121" t="s">
        <v>115</v>
      </c>
      <c r="C546" s="121"/>
      <c r="D546" s="142"/>
      <c r="E546" s="142"/>
      <c r="F546" s="142"/>
      <c r="G546" s="142"/>
      <c r="H546" s="142"/>
    </row>
    <row r="547" spans="1:8">
      <c r="A547" s="121" t="s">
        <v>706</v>
      </c>
      <c r="B547" s="121"/>
      <c r="C547" s="121" t="s">
        <v>19</v>
      </c>
      <c r="D547" s="142">
        <v>140</v>
      </c>
      <c r="E547" s="142">
        <v>140</v>
      </c>
      <c r="F547" s="142">
        <v>140</v>
      </c>
      <c r="G547" s="142"/>
      <c r="H547" s="142"/>
    </row>
    <row r="548" spans="1:8">
      <c r="A548" s="124"/>
      <c r="B548" s="124"/>
      <c r="C548" s="124" t="s">
        <v>924</v>
      </c>
      <c r="D548" s="144">
        <f>SUM(D547:D547)</f>
        <v>140</v>
      </c>
      <c r="E548" s="144">
        <f>SUM(E547:E547)</f>
        <v>140</v>
      </c>
      <c r="F548" s="144">
        <f>SUM(F547:F547)</f>
        <v>140</v>
      </c>
      <c r="G548" s="144">
        <f>SUM(G547:G547)</f>
        <v>0</v>
      </c>
      <c r="H548" s="144">
        <f>SUM(H547:H547)</f>
        <v>0</v>
      </c>
    </row>
    <row r="549" spans="1:8">
      <c r="A549" s="121">
        <v>3</v>
      </c>
      <c r="B549" s="121" t="s">
        <v>533</v>
      </c>
      <c r="C549" s="121"/>
      <c r="D549" s="142"/>
      <c r="E549" s="142"/>
      <c r="F549" s="142"/>
      <c r="G549" s="142"/>
      <c r="H549" s="142"/>
    </row>
    <row r="550" spans="1:8">
      <c r="A550" s="121" t="s">
        <v>706</v>
      </c>
      <c r="B550" s="121"/>
      <c r="C550" s="121" t="s">
        <v>20</v>
      </c>
      <c r="D550" s="142">
        <v>196.46</v>
      </c>
      <c r="E550" s="142"/>
      <c r="F550" s="142"/>
      <c r="G550" s="142"/>
      <c r="H550" s="142"/>
    </row>
    <row r="551" spans="1:8">
      <c r="A551" s="124"/>
      <c r="B551" s="124"/>
      <c r="C551" s="124" t="s">
        <v>924</v>
      </c>
      <c r="D551" s="144">
        <f>SUM(D550:D550)</f>
        <v>196.46</v>
      </c>
      <c r="E551" s="144">
        <f>SUM(E550:E550)</f>
        <v>0</v>
      </c>
      <c r="F551" s="144">
        <f>SUM(F550:F550)</f>
        <v>0</v>
      </c>
      <c r="G551" s="144">
        <f>SUM(G550:G550)</f>
        <v>0</v>
      </c>
      <c r="H551" s="144">
        <f>SUM(H550:H550)</f>
        <v>0</v>
      </c>
    </row>
    <row r="552" spans="1:8">
      <c r="A552" s="121">
        <v>4</v>
      </c>
      <c r="B552" s="121" t="s">
        <v>21</v>
      </c>
      <c r="C552" s="121"/>
      <c r="D552" s="142"/>
      <c r="E552" s="142"/>
      <c r="F552" s="142"/>
      <c r="G552" s="142"/>
      <c r="H552" s="142"/>
    </row>
    <row r="553" spans="1:8">
      <c r="A553" s="121" t="s">
        <v>706</v>
      </c>
      <c r="B553" s="121"/>
      <c r="C553" s="121" t="s">
        <v>460</v>
      </c>
      <c r="D553" s="142">
        <v>9</v>
      </c>
      <c r="E553" s="142">
        <v>9</v>
      </c>
      <c r="F553" s="142">
        <v>9</v>
      </c>
      <c r="G553" s="142">
        <f>7.5</f>
        <v>7.5</v>
      </c>
      <c r="H553" s="142"/>
    </row>
    <row r="554" spans="1:8">
      <c r="A554" s="121" t="s">
        <v>709</v>
      </c>
      <c r="B554" s="121"/>
      <c r="C554" s="121" t="s">
        <v>711</v>
      </c>
      <c r="D554" s="142">
        <v>50</v>
      </c>
      <c r="E554" s="142">
        <v>50</v>
      </c>
      <c r="F554" s="142">
        <v>50</v>
      </c>
      <c r="G554" s="142">
        <f>50</f>
        <v>50</v>
      </c>
      <c r="H554" s="142"/>
    </row>
    <row r="555" spans="1:8">
      <c r="A555" s="121" t="s">
        <v>710</v>
      </c>
      <c r="B555" s="121"/>
      <c r="C555" s="121" t="s">
        <v>523</v>
      </c>
      <c r="D555" s="142">
        <v>20</v>
      </c>
      <c r="E555" s="142">
        <v>0</v>
      </c>
      <c r="F555" s="142">
        <v>0</v>
      </c>
      <c r="G555" s="142"/>
      <c r="H555" s="142"/>
    </row>
    <row r="556" spans="1:8">
      <c r="A556" s="124"/>
      <c r="B556" s="124"/>
      <c r="C556" s="124" t="s">
        <v>924</v>
      </c>
      <c r="D556" s="144">
        <f>SUM(D553:D555)</f>
        <v>79</v>
      </c>
      <c r="E556" s="144">
        <f>SUM(E553:E555)</f>
        <v>59</v>
      </c>
      <c r="F556" s="144">
        <f>SUM(F553:F555)</f>
        <v>59</v>
      </c>
      <c r="G556" s="144">
        <f>SUM(G553:G555)</f>
        <v>57.5</v>
      </c>
      <c r="H556" s="144">
        <f>SUM(H553:H555)</f>
        <v>0</v>
      </c>
    </row>
    <row r="557" spans="1:8">
      <c r="A557" s="121">
        <v>5</v>
      </c>
      <c r="B557" s="121" t="s">
        <v>22</v>
      </c>
      <c r="C557" s="121"/>
      <c r="D557" s="142"/>
      <c r="E557" s="142"/>
      <c r="F557" s="142"/>
      <c r="G557" s="142"/>
      <c r="H557" s="142"/>
    </row>
    <row r="558" spans="1:8">
      <c r="A558" s="121" t="s">
        <v>706</v>
      </c>
      <c r="B558" s="121"/>
      <c r="C558" s="121" t="s">
        <v>129</v>
      </c>
      <c r="D558" s="142">
        <v>1000</v>
      </c>
      <c r="E558" s="142">
        <v>1000</v>
      </c>
      <c r="F558" s="142">
        <v>1000</v>
      </c>
      <c r="G558" s="142">
        <f>1000</f>
        <v>1000</v>
      </c>
      <c r="H558" s="142"/>
    </row>
    <row r="559" spans="1:8">
      <c r="A559" s="124"/>
      <c r="B559" s="124"/>
      <c r="C559" s="124" t="s">
        <v>924</v>
      </c>
      <c r="D559" s="144">
        <f>SUM(D558:D558)</f>
        <v>1000</v>
      </c>
      <c r="E559" s="144">
        <f>SUM(E558:E558)</f>
        <v>1000</v>
      </c>
      <c r="F559" s="144">
        <f>SUM(F558:F558)</f>
        <v>1000</v>
      </c>
      <c r="G559" s="144">
        <f>SUM(G558:G558)</f>
        <v>1000</v>
      </c>
      <c r="H559" s="144">
        <f>SUM(H558:H558)</f>
        <v>0</v>
      </c>
    </row>
    <row r="560" spans="1:8">
      <c r="A560" s="121">
        <v>6</v>
      </c>
      <c r="B560" s="121" t="s">
        <v>23</v>
      </c>
      <c r="C560" s="121"/>
      <c r="D560" s="142"/>
      <c r="E560" s="142"/>
      <c r="F560" s="142"/>
      <c r="G560" s="142"/>
      <c r="H560" s="142"/>
    </row>
    <row r="561" spans="1:8">
      <c r="A561" s="121" t="s">
        <v>706</v>
      </c>
      <c r="B561" s="121"/>
      <c r="C561" s="121" t="s">
        <v>24</v>
      </c>
      <c r="D561" s="142">
        <v>2000</v>
      </c>
      <c r="E561" s="142">
        <v>0</v>
      </c>
      <c r="F561" s="142">
        <v>0</v>
      </c>
      <c r="G561" s="142"/>
      <c r="H561" s="142"/>
    </row>
    <row r="562" spans="1:8">
      <c r="A562" s="121" t="s">
        <v>709</v>
      </c>
      <c r="B562" s="121"/>
      <c r="C562" s="121" t="s">
        <v>25</v>
      </c>
      <c r="D562" s="142">
        <v>200</v>
      </c>
      <c r="E562" s="142">
        <v>200</v>
      </c>
      <c r="F562" s="142">
        <v>200</v>
      </c>
      <c r="G562" s="142"/>
      <c r="H562" s="142"/>
    </row>
    <row r="563" spans="1:8">
      <c r="A563" s="121" t="s">
        <v>710</v>
      </c>
      <c r="B563" s="121"/>
      <c r="C563" s="121" t="s">
        <v>40</v>
      </c>
      <c r="D563" s="142">
        <v>800</v>
      </c>
      <c r="E563" s="142">
        <v>800</v>
      </c>
      <c r="F563" s="142">
        <v>800</v>
      </c>
      <c r="G563" s="142"/>
      <c r="H563" s="142"/>
    </row>
    <row r="564" spans="1:8">
      <c r="A564" s="121" t="s">
        <v>712</v>
      </c>
      <c r="B564" s="121"/>
      <c r="C564" s="121" t="s">
        <v>708</v>
      </c>
      <c r="D564" s="142">
        <v>9</v>
      </c>
      <c r="E564" s="142">
        <v>9</v>
      </c>
      <c r="F564" s="142">
        <v>9</v>
      </c>
      <c r="G564" s="142"/>
      <c r="H564" s="142"/>
    </row>
    <row r="565" spans="1:8">
      <c r="A565" s="124"/>
      <c r="B565" s="124"/>
      <c r="C565" s="124" t="s">
        <v>924</v>
      </c>
      <c r="D565" s="144">
        <f>SUM(D561:D564)</f>
        <v>3009</v>
      </c>
      <c r="E565" s="144">
        <f>SUM(E561:E564)</f>
        <v>1009</v>
      </c>
      <c r="F565" s="144">
        <f>SUM(F561:F564)</f>
        <v>1009</v>
      </c>
      <c r="G565" s="144">
        <f>SUM(G561:G563)</f>
        <v>0</v>
      </c>
      <c r="H565" s="144">
        <f>SUM(H561:H563)</f>
        <v>0</v>
      </c>
    </row>
    <row r="566" spans="1:8">
      <c r="A566" s="121">
        <v>7</v>
      </c>
      <c r="B566" s="121" t="s">
        <v>26</v>
      </c>
      <c r="C566" s="121"/>
      <c r="D566" s="142"/>
      <c r="E566" s="142"/>
      <c r="F566" s="142"/>
      <c r="G566" s="142"/>
      <c r="H566" s="142"/>
    </row>
    <row r="567" spans="1:8">
      <c r="A567" s="121" t="s">
        <v>706</v>
      </c>
      <c r="B567" s="121"/>
      <c r="C567" s="121" t="s">
        <v>678</v>
      </c>
      <c r="D567" s="142">
        <v>420</v>
      </c>
      <c r="E567" s="142"/>
      <c r="F567" s="142"/>
      <c r="G567" s="142"/>
      <c r="H567" s="142"/>
    </row>
    <row r="568" spans="1:8">
      <c r="A568" s="124"/>
      <c r="B568" s="124"/>
      <c r="C568" s="124" t="s">
        <v>924</v>
      </c>
      <c r="D568" s="144">
        <f>SUM(D567:D567)</f>
        <v>420</v>
      </c>
      <c r="E568" s="144">
        <f>SUM(E567:E567)</f>
        <v>0</v>
      </c>
      <c r="F568" s="144">
        <f>SUM(F567:F567)</f>
        <v>0</v>
      </c>
      <c r="G568" s="144">
        <f>SUM(G567:G567)</f>
        <v>0</v>
      </c>
      <c r="H568" s="144">
        <f>SUM(H567:H567)</f>
        <v>0</v>
      </c>
    </row>
    <row r="569" spans="1:8">
      <c r="A569" s="121">
        <v>8</v>
      </c>
      <c r="B569" s="121" t="s">
        <v>298</v>
      </c>
      <c r="C569" s="121"/>
      <c r="D569" s="142"/>
      <c r="E569" s="142"/>
      <c r="F569" s="142"/>
      <c r="G569" s="142"/>
      <c r="H569" s="142"/>
    </row>
    <row r="570" spans="1:8">
      <c r="A570" s="121" t="s">
        <v>706</v>
      </c>
      <c r="B570" s="121"/>
      <c r="C570" s="121" t="s">
        <v>27</v>
      </c>
      <c r="D570" s="142">
        <v>410</v>
      </c>
      <c r="E570" s="142" t="s">
        <v>862</v>
      </c>
      <c r="F570" s="142" t="s">
        <v>862</v>
      </c>
      <c r="G570" s="142"/>
      <c r="H570" s="142"/>
    </row>
    <row r="571" spans="1:8">
      <c r="A571" s="121" t="s">
        <v>709</v>
      </c>
      <c r="B571" s="121"/>
      <c r="C571" s="121" t="s">
        <v>28</v>
      </c>
      <c r="D571" s="142">
        <v>70</v>
      </c>
      <c r="E571" s="142">
        <v>0</v>
      </c>
      <c r="F571" s="142">
        <v>0</v>
      </c>
      <c r="G571" s="142"/>
      <c r="H571" s="142"/>
    </row>
    <row r="572" spans="1:8">
      <c r="A572" s="124"/>
      <c r="B572" s="124"/>
      <c r="C572" s="124" t="s">
        <v>924</v>
      </c>
      <c r="D572" s="144">
        <f>SUM(D570:D571)</f>
        <v>480</v>
      </c>
      <c r="E572" s="144">
        <f>SUM(E570:E571)</f>
        <v>0</v>
      </c>
      <c r="F572" s="144">
        <f>SUM(F570:F571)</f>
        <v>0</v>
      </c>
      <c r="G572" s="144">
        <f>SUM(G570:G571)</f>
        <v>0</v>
      </c>
      <c r="H572" s="144">
        <f>SUM(H570:H571)</f>
        <v>0</v>
      </c>
    </row>
    <row r="573" spans="1:8">
      <c r="A573" s="121">
        <v>9</v>
      </c>
      <c r="B573" s="121" t="s">
        <v>106</v>
      </c>
      <c r="C573" s="121"/>
      <c r="D573" s="142"/>
      <c r="E573" s="142"/>
      <c r="F573" s="142"/>
      <c r="G573" s="142"/>
      <c r="H573" s="142"/>
    </row>
    <row r="574" spans="1:8">
      <c r="A574" s="121" t="s">
        <v>706</v>
      </c>
      <c r="B574" s="121"/>
      <c r="C574" s="121" t="s">
        <v>29</v>
      </c>
      <c r="D574" s="142">
        <v>60</v>
      </c>
      <c r="E574" s="142">
        <v>60</v>
      </c>
      <c r="F574" s="142">
        <v>60</v>
      </c>
      <c r="G574" s="142">
        <f>60</f>
        <v>60</v>
      </c>
      <c r="H574" s="142"/>
    </row>
    <row r="575" spans="1:8">
      <c r="A575" s="121" t="s">
        <v>709</v>
      </c>
      <c r="B575" s="121"/>
      <c r="C575" s="121" t="s">
        <v>30</v>
      </c>
      <c r="D575" s="142">
        <v>30</v>
      </c>
      <c r="E575" s="142">
        <v>9</v>
      </c>
      <c r="F575" s="142">
        <v>9</v>
      </c>
      <c r="G575" s="142">
        <v>9</v>
      </c>
      <c r="H575" s="142"/>
    </row>
    <row r="576" spans="1:8">
      <c r="A576" s="124"/>
      <c r="B576" s="124"/>
      <c r="C576" s="124" t="s">
        <v>924</v>
      </c>
      <c r="D576" s="144">
        <f>SUM(D574:D575)</f>
        <v>90</v>
      </c>
      <c r="E576" s="144">
        <f>SUM(E574:E575)</f>
        <v>69</v>
      </c>
      <c r="F576" s="144">
        <f>SUM(F574:F575)</f>
        <v>69</v>
      </c>
      <c r="G576" s="144">
        <f>SUM(G574:G575)</f>
        <v>69</v>
      </c>
      <c r="H576" s="144">
        <f>SUM(H574:H575)</f>
        <v>0</v>
      </c>
    </row>
    <row r="577" spans="1:8">
      <c r="A577" s="121">
        <v>10</v>
      </c>
      <c r="B577" s="121" t="s">
        <v>31</v>
      </c>
      <c r="C577" s="121"/>
      <c r="D577" s="142"/>
      <c r="E577" s="142"/>
      <c r="F577" s="142"/>
      <c r="G577" s="142"/>
      <c r="H577" s="142"/>
    </row>
    <row r="578" spans="1:8">
      <c r="A578" s="121" t="s">
        <v>706</v>
      </c>
      <c r="B578" s="121"/>
      <c r="C578" s="121" t="s">
        <v>129</v>
      </c>
      <c r="D578" s="142">
        <v>550</v>
      </c>
      <c r="E578" s="142">
        <v>550</v>
      </c>
      <c r="F578" s="142">
        <v>550</v>
      </c>
      <c r="G578" s="142">
        <f>550</f>
        <v>550</v>
      </c>
      <c r="H578" s="142"/>
    </row>
    <row r="579" spans="1:8">
      <c r="A579" s="121" t="s">
        <v>709</v>
      </c>
      <c r="B579" s="121"/>
      <c r="C579" s="121" t="s">
        <v>32</v>
      </c>
      <c r="D579" s="142">
        <v>300</v>
      </c>
      <c r="E579" s="142">
        <v>0</v>
      </c>
      <c r="F579" s="142">
        <v>0</v>
      </c>
      <c r="G579" s="142"/>
      <c r="H579" s="142"/>
    </row>
    <row r="580" spans="1:8">
      <c r="A580" s="124"/>
      <c r="B580" s="124"/>
      <c r="C580" s="124" t="s">
        <v>924</v>
      </c>
      <c r="D580" s="144">
        <f>SUM(D578:D579)</f>
        <v>850</v>
      </c>
      <c r="E580" s="144">
        <f>SUM(E578:E579)</f>
        <v>550</v>
      </c>
      <c r="F580" s="144">
        <f>SUM(F578:F579)</f>
        <v>550</v>
      </c>
      <c r="G580" s="144">
        <f>SUM(G578:G579)</f>
        <v>550</v>
      </c>
      <c r="H580" s="144">
        <f>SUM(H578:H579)</f>
        <v>0</v>
      </c>
    </row>
    <row r="581" spans="1:8">
      <c r="A581" s="121">
        <v>11</v>
      </c>
      <c r="B581" s="121" t="s">
        <v>33</v>
      </c>
      <c r="C581" s="121"/>
      <c r="D581" s="142"/>
      <c r="E581" s="142"/>
      <c r="F581" s="142"/>
      <c r="G581" s="142"/>
      <c r="H581" s="142"/>
    </row>
    <row r="582" spans="1:8">
      <c r="A582" s="121" t="s">
        <v>706</v>
      </c>
      <c r="B582" s="121"/>
      <c r="C582" s="121" t="s">
        <v>515</v>
      </c>
      <c r="D582" s="142">
        <v>200</v>
      </c>
      <c r="E582" s="142">
        <v>200</v>
      </c>
      <c r="F582" s="142">
        <v>200</v>
      </c>
      <c r="G582" s="142"/>
      <c r="H582" s="142"/>
    </row>
    <row r="583" spans="1:8">
      <c r="A583" s="121" t="s">
        <v>709</v>
      </c>
      <c r="B583" s="121"/>
      <c r="C583" s="121" t="s">
        <v>708</v>
      </c>
      <c r="D583" s="142">
        <v>12.5</v>
      </c>
      <c r="E583" s="142">
        <v>0</v>
      </c>
      <c r="F583" s="142">
        <v>0</v>
      </c>
      <c r="G583" s="142"/>
      <c r="H583" s="142"/>
    </row>
    <row r="584" spans="1:8">
      <c r="A584" s="121" t="s">
        <v>710</v>
      </c>
      <c r="B584" s="121"/>
      <c r="C584" s="121" t="s">
        <v>34</v>
      </c>
      <c r="D584" s="142">
        <v>74.150000000000006</v>
      </c>
      <c r="E584" s="142">
        <v>0</v>
      </c>
      <c r="F584" s="142">
        <v>0</v>
      </c>
      <c r="G584" s="142"/>
      <c r="H584" s="142"/>
    </row>
    <row r="585" spans="1:8">
      <c r="A585" s="121" t="s">
        <v>712</v>
      </c>
      <c r="B585" s="121"/>
      <c r="C585" s="121" t="s">
        <v>516</v>
      </c>
      <c r="D585" s="142">
        <v>50</v>
      </c>
      <c r="E585" s="142">
        <v>0</v>
      </c>
      <c r="F585" s="142">
        <v>0</v>
      </c>
      <c r="G585" s="142"/>
      <c r="H585" s="142"/>
    </row>
    <row r="586" spans="1:8">
      <c r="A586" s="124"/>
      <c r="B586" s="124"/>
      <c r="C586" s="124" t="s">
        <v>924</v>
      </c>
      <c r="D586" s="144">
        <f>SUM(D582:D585)</f>
        <v>336.65</v>
      </c>
      <c r="E586" s="144">
        <f>SUM(E582:E585)</f>
        <v>200</v>
      </c>
      <c r="F586" s="144">
        <f>SUM(F582:F585)</f>
        <v>200</v>
      </c>
      <c r="G586" s="144">
        <f>SUM(G582:G585)</f>
        <v>0</v>
      </c>
      <c r="H586" s="144">
        <f>SUM(H582:H585)</f>
        <v>0</v>
      </c>
    </row>
    <row r="587" spans="1:8">
      <c r="A587" s="121">
        <v>12</v>
      </c>
      <c r="B587" s="121" t="s">
        <v>35</v>
      </c>
      <c r="C587" s="121"/>
      <c r="D587" s="142"/>
      <c r="E587" s="142"/>
      <c r="F587" s="142"/>
      <c r="G587" s="142"/>
      <c r="H587" s="142"/>
    </row>
    <row r="588" spans="1:8">
      <c r="A588" s="121" t="s">
        <v>706</v>
      </c>
      <c r="B588" s="121"/>
      <c r="C588" s="121" t="s">
        <v>36</v>
      </c>
      <c r="D588" s="142">
        <v>2500</v>
      </c>
      <c r="E588" s="142">
        <v>2500</v>
      </c>
      <c r="F588" s="142">
        <v>2500</v>
      </c>
      <c r="G588" s="142">
        <v>2200</v>
      </c>
      <c r="H588" s="142"/>
    </row>
    <row r="589" spans="1:8">
      <c r="A589" s="121" t="s">
        <v>709</v>
      </c>
      <c r="B589" s="121"/>
      <c r="C589" s="121" t="s">
        <v>502</v>
      </c>
      <c r="D589" s="142">
        <v>70</v>
      </c>
      <c r="E589" s="142">
        <v>70</v>
      </c>
      <c r="F589" s="142">
        <v>70</v>
      </c>
      <c r="G589" s="142">
        <f>70</f>
        <v>70</v>
      </c>
      <c r="H589" s="142"/>
    </row>
    <row r="590" spans="1:8">
      <c r="A590" s="121" t="s">
        <v>710</v>
      </c>
      <c r="B590" s="121"/>
      <c r="C590" s="121" t="s">
        <v>711</v>
      </c>
      <c r="D590" s="142">
        <v>1000</v>
      </c>
      <c r="E590" s="142">
        <v>1000</v>
      </c>
      <c r="F590" s="142">
        <v>1000</v>
      </c>
      <c r="G590" s="142"/>
      <c r="H590" s="142"/>
    </row>
    <row r="591" spans="1:8">
      <c r="A591" s="124"/>
      <c r="B591" s="124"/>
      <c r="C591" s="124" t="s">
        <v>924</v>
      </c>
      <c r="D591" s="144">
        <f>SUM(D588:D590)</f>
        <v>3570</v>
      </c>
      <c r="E591" s="144">
        <f>SUM(E588:E590)</f>
        <v>3570</v>
      </c>
      <c r="F591" s="144">
        <f>SUM(F588:F590)</f>
        <v>3570</v>
      </c>
      <c r="G591" s="144">
        <f>SUM(G588:G590)</f>
        <v>2270</v>
      </c>
      <c r="H591" s="144">
        <f>SUM(H588:H590)</f>
        <v>0</v>
      </c>
    </row>
    <row r="592" spans="1:8">
      <c r="A592" s="121">
        <v>13</v>
      </c>
      <c r="B592" s="121" t="s">
        <v>37</v>
      </c>
      <c r="C592" s="121"/>
      <c r="D592" s="142"/>
      <c r="E592" s="142"/>
      <c r="F592" s="142"/>
      <c r="G592" s="142"/>
      <c r="H592" s="142"/>
    </row>
    <row r="593" spans="1:9">
      <c r="A593" s="121" t="s">
        <v>706</v>
      </c>
      <c r="B593" s="121"/>
      <c r="C593" s="121" t="s">
        <v>38</v>
      </c>
      <c r="D593" s="142">
        <v>150</v>
      </c>
      <c r="E593" s="142">
        <v>150</v>
      </c>
      <c r="F593" s="142">
        <v>150</v>
      </c>
      <c r="G593" s="142"/>
      <c r="H593" s="142"/>
    </row>
    <row r="594" spans="1:9">
      <c r="A594" s="121" t="s">
        <v>709</v>
      </c>
      <c r="B594" s="121"/>
      <c r="C594" s="121" t="s">
        <v>711</v>
      </c>
      <c r="D594" s="142">
        <v>50</v>
      </c>
      <c r="E594" s="142">
        <v>50</v>
      </c>
      <c r="F594" s="142">
        <v>50</v>
      </c>
      <c r="G594" s="142"/>
      <c r="H594" s="142"/>
    </row>
    <row r="595" spans="1:9">
      <c r="A595" s="121" t="s">
        <v>710</v>
      </c>
      <c r="B595" s="121"/>
      <c r="C595" s="121" t="s">
        <v>708</v>
      </c>
      <c r="D595" s="142">
        <v>9</v>
      </c>
      <c r="E595" s="142">
        <v>9</v>
      </c>
      <c r="F595" s="142">
        <v>9</v>
      </c>
      <c r="G595" s="142"/>
      <c r="H595" s="142"/>
    </row>
    <row r="596" spans="1:9">
      <c r="A596" s="124"/>
      <c r="B596" s="124"/>
      <c r="C596" s="124" t="s">
        <v>924</v>
      </c>
      <c r="D596" s="144">
        <f>SUM(D593:D595)</f>
        <v>209</v>
      </c>
      <c r="E596" s="144">
        <f>SUM(E593:E595)</f>
        <v>209</v>
      </c>
      <c r="F596" s="144">
        <f>SUM(F593:F595)</f>
        <v>209</v>
      </c>
      <c r="G596" s="144">
        <f>SUM(G593:G594)</f>
        <v>0</v>
      </c>
      <c r="H596" s="144">
        <f>SUM(H593:H594)</f>
        <v>0</v>
      </c>
    </row>
    <row r="597" spans="1:9" s="201" customFormat="1">
      <c r="A597" s="168">
        <v>14</v>
      </c>
      <c r="B597" s="168" t="s">
        <v>41</v>
      </c>
      <c r="C597" s="168"/>
      <c r="D597" s="167"/>
      <c r="E597" s="167"/>
      <c r="F597" s="167"/>
      <c r="G597" s="167"/>
      <c r="H597" s="167"/>
    </row>
    <row r="598" spans="1:9" s="201" customFormat="1">
      <c r="A598" s="168" t="s">
        <v>706</v>
      </c>
      <c r="B598" s="168"/>
      <c r="C598" s="168" t="s">
        <v>678</v>
      </c>
      <c r="D598" s="167">
        <v>360</v>
      </c>
      <c r="E598" s="167">
        <v>360</v>
      </c>
      <c r="F598" s="167">
        <v>360</v>
      </c>
      <c r="G598" s="167">
        <v>360</v>
      </c>
      <c r="H598" s="167">
        <v>0</v>
      </c>
    </row>
    <row r="599" spans="1:9" s="201" customFormat="1">
      <c r="A599" s="168" t="s">
        <v>709</v>
      </c>
      <c r="B599" s="168"/>
      <c r="C599" s="168" t="s">
        <v>42</v>
      </c>
      <c r="D599" s="167">
        <v>140.22</v>
      </c>
      <c r="E599" s="167">
        <v>140.22</v>
      </c>
      <c r="F599" s="167">
        <v>140.22</v>
      </c>
      <c r="G599" s="167">
        <v>140.22</v>
      </c>
      <c r="H599" s="167">
        <v>0</v>
      </c>
    </row>
    <row r="600" spans="1:9" s="201" customFormat="1">
      <c r="A600" s="168" t="s">
        <v>710</v>
      </c>
      <c r="B600" s="168"/>
      <c r="C600" s="168" t="s">
        <v>570</v>
      </c>
      <c r="D600" s="167">
        <v>98.5</v>
      </c>
      <c r="E600" s="167">
        <v>0</v>
      </c>
      <c r="F600" s="167">
        <v>0</v>
      </c>
      <c r="G600" s="167"/>
      <c r="H600" s="167"/>
    </row>
    <row r="601" spans="1:9" s="201" customFormat="1">
      <c r="A601" s="168" t="s">
        <v>712</v>
      </c>
      <c r="B601" s="168"/>
      <c r="C601" s="168" t="s">
        <v>43</v>
      </c>
      <c r="D601" s="167">
        <v>18</v>
      </c>
      <c r="E601" s="167">
        <v>9</v>
      </c>
      <c r="F601" s="167">
        <v>9</v>
      </c>
      <c r="G601" s="167"/>
      <c r="H601" s="167"/>
    </row>
    <row r="602" spans="1:9" s="201" customFormat="1">
      <c r="A602" s="168" t="s">
        <v>713</v>
      </c>
      <c r="B602" s="168"/>
      <c r="C602" s="168" t="s">
        <v>513</v>
      </c>
      <c r="D602" s="167">
        <v>90.5</v>
      </c>
      <c r="E602" s="167">
        <v>0</v>
      </c>
      <c r="F602" s="167">
        <v>0</v>
      </c>
      <c r="G602" s="167"/>
      <c r="H602" s="167"/>
    </row>
    <row r="603" spans="1:9">
      <c r="A603" s="124"/>
      <c r="B603" s="124"/>
      <c r="C603" s="124" t="s">
        <v>924</v>
      </c>
      <c r="D603" s="144">
        <f>SUM(D598:D602)</f>
        <v>707.22</v>
      </c>
      <c r="E603" s="144">
        <f>SUM(E598:E602)</f>
        <v>509.22</v>
      </c>
      <c r="F603" s="144">
        <f>SUM(F598:F602)</f>
        <v>509.22</v>
      </c>
      <c r="G603" s="144">
        <f>SUM(G598:G599)</f>
        <v>500.22</v>
      </c>
      <c r="H603" s="144">
        <f>SUM(H598:H599)</f>
        <v>0</v>
      </c>
    </row>
    <row r="604" spans="1:9" ht="15.75" customHeight="1">
      <c r="A604" s="121">
        <v>15</v>
      </c>
      <c r="B604" s="121" t="s">
        <v>180</v>
      </c>
      <c r="C604" s="121"/>
      <c r="D604" s="142"/>
      <c r="E604" s="142"/>
      <c r="F604" s="142"/>
      <c r="G604" s="142"/>
      <c r="H604" s="142"/>
    </row>
    <row r="605" spans="1:9">
      <c r="A605" s="121" t="s">
        <v>706</v>
      </c>
      <c r="B605" s="121"/>
      <c r="C605" s="121" t="s">
        <v>44</v>
      </c>
      <c r="D605" s="142">
        <v>200</v>
      </c>
      <c r="E605" s="142">
        <v>0</v>
      </c>
      <c r="F605" s="142">
        <v>0</v>
      </c>
      <c r="G605" s="142"/>
      <c r="H605" s="142"/>
    </row>
    <row r="606" spans="1:9" ht="13.5" customHeight="1">
      <c r="A606" s="121" t="s">
        <v>709</v>
      </c>
      <c r="B606" s="121"/>
      <c r="C606" s="121" t="s">
        <v>45</v>
      </c>
      <c r="D606" s="142">
        <v>100</v>
      </c>
      <c r="E606" s="142">
        <v>100</v>
      </c>
      <c r="F606" s="142">
        <v>100</v>
      </c>
      <c r="G606" s="142">
        <f>100</f>
        <v>100</v>
      </c>
      <c r="H606" s="142"/>
    </row>
    <row r="607" spans="1:9" ht="17.25" customHeight="1">
      <c r="A607" s="121" t="s">
        <v>710</v>
      </c>
      <c r="B607" s="121"/>
      <c r="C607" s="121" t="s">
        <v>46</v>
      </c>
      <c r="D607" s="142">
        <v>80</v>
      </c>
      <c r="E607" s="142">
        <v>80</v>
      </c>
      <c r="F607" s="142">
        <v>80</v>
      </c>
      <c r="G607" s="142"/>
      <c r="H607" s="142"/>
      <c r="I607" s="202" t="s">
        <v>47</v>
      </c>
    </row>
    <row r="608" spans="1:9">
      <c r="A608" s="124"/>
      <c r="B608" s="124"/>
      <c r="C608" s="124" t="s">
        <v>924</v>
      </c>
      <c r="D608" s="144">
        <f>SUM(D605:D607)</f>
        <v>380</v>
      </c>
      <c r="E608" s="144">
        <f>SUM(E605:E607)</f>
        <v>180</v>
      </c>
      <c r="F608" s="144">
        <f>SUM(F605:F607)</f>
        <v>180</v>
      </c>
      <c r="G608" s="144">
        <f>SUM(G605:G606)</f>
        <v>100</v>
      </c>
      <c r="H608" s="144">
        <f>SUM(H605:H606)</f>
        <v>0</v>
      </c>
    </row>
    <row r="609" spans="1:8">
      <c r="A609" s="200" t="s">
        <v>39</v>
      </c>
      <c r="B609" s="197"/>
      <c r="C609" s="197"/>
      <c r="D609" s="198">
        <f>SUM(D603,D596,D591,D586,D580,D576,D572,D568,D565,D559,D556,D551,D548,D545,D608)</f>
        <v>11523.329999999998</v>
      </c>
      <c r="E609" s="198">
        <f>SUM(E603,E596,E591,E586,E580,E576,E572,E568,E565,E559,E556,E551,E548,E545,E608)</f>
        <v>7551.22</v>
      </c>
      <c r="F609" s="198">
        <f>SUM(F603,F596,F591,F586,F580,F576,F572,F568,F565,F559,F556,F551,F548,F545,F608)</f>
        <v>7551.22</v>
      </c>
      <c r="G609" s="198">
        <f>SUM(G603,G596,G591,G586,G580,G576,G572,G568,G565,G559,G556,G551,G548,G545,G608)</f>
        <v>4546.72</v>
      </c>
      <c r="H609" s="198">
        <f>SUM(H603,H596,H591,H586,H580,H576,H572,H568,H565,H559,H556,H551,H548,H545,H608)</f>
        <v>0</v>
      </c>
    </row>
    <row r="610" spans="1:8" ht="12" customHeight="1">
      <c r="A610" s="203" t="s">
        <v>49</v>
      </c>
      <c r="B610" s="204"/>
      <c r="C610" s="204"/>
      <c r="D610" s="205"/>
      <c r="E610" s="205"/>
      <c r="F610" s="206"/>
      <c r="G610" s="206"/>
      <c r="H610" s="206"/>
    </row>
    <row r="611" spans="1:8" ht="15.75" customHeight="1">
      <c r="A611" s="117"/>
      <c r="B611" s="118" t="s">
        <v>923</v>
      </c>
      <c r="C611" s="118" t="s">
        <v>699</v>
      </c>
      <c r="D611" s="140" t="s">
        <v>700</v>
      </c>
      <c r="E611" s="140" t="s">
        <v>701</v>
      </c>
      <c r="F611" s="141" t="s">
        <v>702</v>
      </c>
      <c r="G611" s="141" t="s">
        <v>703</v>
      </c>
      <c r="H611" s="141" t="s">
        <v>704</v>
      </c>
    </row>
    <row r="612" spans="1:8">
      <c r="A612" s="121">
        <v>1</v>
      </c>
      <c r="B612" s="121" t="s">
        <v>934</v>
      </c>
      <c r="C612" s="121"/>
      <c r="D612" s="142"/>
      <c r="E612" s="142"/>
      <c r="F612" s="142"/>
      <c r="G612" s="142"/>
      <c r="H612" s="142"/>
    </row>
    <row r="613" spans="1:8">
      <c r="A613" s="121" t="s">
        <v>706</v>
      </c>
      <c r="B613" s="121"/>
      <c r="C613" s="121" t="s">
        <v>708</v>
      </c>
      <c r="D613" s="142">
        <v>9</v>
      </c>
      <c r="E613" s="142">
        <v>9</v>
      </c>
      <c r="F613" s="142">
        <v>9</v>
      </c>
      <c r="G613" s="142">
        <f>9</f>
        <v>9</v>
      </c>
      <c r="H613" s="142">
        <v>0</v>
      </c>
    </row>
    <row r="614" spans="1:8">
      <c r="A614" s="124"/>
      <c r="B614" s="124"/>
      <c r="C614" s="124" t="s">
        <v>924</v>
      </c>
      <c r="D614" s="144">
        <f>SUM(D613:D613)</f>
        <v>9</v>
      </c>
      <c r="E614" s="144">
        <f>SUM(E613:E613)</f>
        <v>9</v>
      </c>
      <c r="F614" s="144">
        <f>SUM(F613:F613)</f>
        <v>9</v>
      </c>
      <c r="G614" s="144">
        <f>SUM(G613:G613)</f>
        <v>9</v>
      </c>
      <c r="H614" s="144">
        <f>SUM(H613:H613)</f>
        <v>0</v>
      </c>
    </row>
    <row r="615" spans="1:8" ht="15.75" customHeight="1">
      <c r="A615" s="121">
        <v>2</v>
      </c>
      <c r="B615" s="121" t="s">
        <v>115</v>
      </c>
      <c r="C615" s="121"/>
      <c r="D615" s="142"/>
      <c r="E615" s="142"/>
      <c r="F615" s="142"/>
      <c r="G615" s="142"/>
      <c r="H615" s="142"/>
    </row>
    <row r="616" spans="1:8">
      <c r="A616" s="121" t="s">
        <v>706</v>
      </c>
      <c r="B616" s="121"/>
      <c r="C616" s="121" t="s">
        <v>50</v>
      </c>
      <c r="D616" s="142">
        <v>9</v>
      </c>
      <c r="E616" s="142">
        <v>9</v>
      </c>
      <c r="F616" s="142">
        <v>9</v>
      </c>
      <c r="G616" s="142">
        <f>9</f>
        <v>9</v>
      </c>
      <c r="H616" s="142">
        <f>0</f>
        <v>0</v>
      </c>
    </row>
    <row r="617" spans="1:8" ht="17.25" customHeight="1">
      <c r="A617" s="121" t="s">
        <v>709</v>
      </c>
      <c r="B617" s="121"/>
      <c r="C617" s="121" t="s">
        <v>51</v>
      </c>
      <c r="D617" s="142">
        <v>30</v>
      </c>
      <c r="E617" s="142">
        <v>0</v>
      </c>
      <c r="F617" s="142">
        <v>0</v>
      </c>
      <c r="G617" s="142"/>
      <c r="H617" s="142"/>
    </row>
    <row r="618" spans="1:8">
      <c r="A618" s="124"/>
      <c r="B618" s="124"/>
      <c r="C618" s="124" t="s">
        <v>924</v>
      </c>
      <c r="D618" s="144">
        <f>SUM(D616:D617)</f>
        <v>39</v>
      </c>
      <c r="E618" s="144">
        <f>SUM(E616:E617)</f>
        <v>9</v>
      </c>
      <c r="F618" s="144">
        <f>SUM(F616:F617)</f>
        <v>9</v>
      </c>
      <c r="G618" s="144">
        <f>SUM(G616:G616)</f>
        <v>9</v>
      </c>
      <c r="H618" s="144">
        <f>SUM(H616:H616)</f>
        <v>0</v>
      </c>
    </row>
    <row r="619" spans="1:8" s="201" customFormat="1">
      <c r="A619" s="168">
        <v>3</v>
      </c>
      <c r="B619" s="168" t="s">
        <v>294</v>
      </c>
      <c r="C619" s="168"/>
      <c r="D619" s="167"/>
      <c r="E619" s="167"/>
      <c r="F619" s="167"/>
      <c r="G619" s="167"/>
      <c r="H619" s="167"/>
    </row>
    <row r="620" spans="1:8" s="201" customFormat="1">
      <c r="A620" s="168" t="s">
        <v>706</v>
      </c>
      <c r="B620" s="168"/>
      <c r="C620" s="168" t="s">
        <v>52</v>
      </c>
      <c r="D620" s="167">
        <v>3500</v>
      </c>
      <c r="E620" s="167" t="s">
        <v>862</v>
      </c>
      <c r="F620" s="167" t="s">
        <v>862</v>
      </c>
      <c r="G620" s="167"/>
      <c r="H620" s="167"/>
    </row>
    <row r="621" spans="1:8" s="201" customFormat="1">
      <c r="A621" s="168" t="s">
        <v>709</v>
      </c>
      <c r="B621" s="168"/>
      <c r="C621" s="168" t="s">
        <v>53</v>
      </c>
      <c r="D621" s="167">
        <v>450</v>
      </c>
      <c r="E621" s="167" t="s">
        <v>862</v>
      </c>
      <c r="F621" s="167" t="s">
        <v>862</v>
      </c>
      <c r="G621" s="167"/>
      <c r="H621" s="167"/>
    </row>
    <row r="622" spans="1:8" s="201" customFormat="1">
      <c r="A622" s="168" t="s">
        <v>710</v>
      </c>
      <c r="B622" s="168"/>
      <c r="C622" s="168" t="s">
        <v>70</v>
      </c>
      <c r="D622" s="167">
        <v>25</v>
      </c>
      <c r="E622" s="167" t="s">
        <v>862</v>
      </c>
      <c r="F622" s="167" t="s">
        <v>862</v>
      </c>
      <c r="G622" s="167"/>
      <c r="H622" s="167"/>
    </row>
    <row r="623" spans="1:8" s="201" customFormat="1">
      <c r="A623" s="168" t="s">
        <v>712</v>
      </c>
      <c r="B623" s="168"/>
      <c r="C623" s="168" t="s">
        <v>761</v>
      </c>
      <c r="D623" s="167">
        <v>575</v>
      </c>
      <c r="E623" s="167" t="s">
        <v>862</v>
      </c>
      <c r="F623" s="167" t="s">
        <v>862</v>
      </c>
      <c r="G623" s="167"/>
      <c r="H623" s="167"/>
    </row>
    <row r="624" spans="1:8" s="201" customFormat="1">
      <c r="A624" s="168" t="s">
        <v>713</v>
      </c>
      <c r="B624" s="168"/>
      <c r="C624" s="168" t="s">
        <v>54</v>
      </c>
      <c r="D624" s="167">
        <v>200</v>
      </c>
      <c r="E624" s="167" t="s">
        <v>862</v>
      </c>
      <c r="F624" s="167" t="s">
        <v>862</v>
      </c>
      <c r="G624" s="167"/>
      <c r="H624" s="167"/>
    </row>
    <row r="625" spans="1:9">
      <c r="A625" s="124"/>
      <c r="B625" s="124"/>
      <c r="C625" s="124" t="s">
        <v>924</v>
      </c>
      <c r="D625" s="144">
        <f>SUM(D620:D624)</f>
        <v>4750</v>
      </c>
      <c r="E625" s="144">
        <f>SUM(E620:E624)</f>
        <v>0</v>
      </c>
      <c r="F625" s="144">
        <f>SUM(F620:F624)</f>
        <v>0</v>
      </c>
      <c r="G625" s="144">
        <f>SUM(G620:G621)</f>
        <v>0</v>
      </c>
      <c r="H625" s="144">
        <f>SUM(H620:H621)</f>
        <v>0</v>
      </c>
    </row>
    <row r="626" spans="1:9" s="201" customFormat="1">
      <c r="A626" s="168">
        <v>4</v>
      </c>
      <c r="B626" s="168" t="s">
        <v>868</v>
      </c>
      <c r="C626" s="168"/>
      <c r="D626" s="167"/>
      <c r="E626" s="167"/>
      <c r="F626" s="167"/>
      <c r="G626" s="167"/>
      <c r="H626" s="167"/>
    </row>
    <row r="627" spans="1:9" s="201" customFormat="1">
      <c r="A627" s="168" t="s">
        <v>706</v>
      </c>
      <c r="B627" s="168"/>
      <c r="C627" s="168" t="s">
        <v>55</v>
      </c>
      <c r="D627" s="167">
        <v>630</v>
      </c>
      <c r="E627" s="167">
        <v>630</v>
      </c>
      <c r="F627" s="167">
        <v>630</v>
      </c>
      <c r="G627" s="167">
        <f>630</f>
        <v>630</v>
      </c>
      <c r="H627" s="167"/>
      <c r="I627" s="201">
        <f>630+38.461+20.001</f>
        <v>688.46199999999999</v>
      </c>
    </row>
    <row r="628" spans="1:9" s="201" customFormat="1">
      <c r="A628" s="168" t="s">
        <v>709</v>
      </c>
      <c r="B628" s="168"/>
      <c r="C628" s="168" t="s">
        <v>56</v>
      </c>
      <c r="D628" s="167">
        <v>40</v>
      </c>
      <c r="E628" s="167">
        <v>40</v>
      </c>
      <c r="F628" s="167">
        <v>40</v>
      </c>
      <c r="G628" s="167">
        <f>38.461</f>
        <v>38.460999999999999</v>
      </c>
      <c r="H628" s="167"/>
    </row>
    <row r="629" spans="1:9" s="201" customFormat="1">
      <c r="A629" s="168" t="s">
        <v>710</v>
      </c>
      <c r="B629" s="168"/>
      <c r="C629" s="168" t="s">
        <v>57</v>
      </c>
      <c r="D629" s="167">
        <v>20</v>
      </c>
      <c r="E629" s="167">
        <v>20</v>
      </c>
      <c r="F629" s="167">
        <v>20</v>
      </c>
      <c r="G629" s="167"/>
      <c r="H629" s="167"/>
    </row>
    <row r="630" spans="1:9" s="201" customFormat="1">
      <c r="A630" s="168" t="s">
        <v>712</v>
      </c>
      <c r="B630" s="168"/>
      <c r="C630" s="168" t="s">
        <v>72</v>
      </c>
      <c r="D630" s="167">
        <v>20</v>
      </c>
      <c r="E630" s="167">
        <v>20</v>
      </c>
      <c r="F630" s="167">
        <v>20</v>
      </c>
      <c r="G630" s="167">
        <f>20</f>
        <v>20</v>
      </c>
      <c r="H630" s="167"/>
    </row>
    <row r="631" spans="1:9">
      <c r="A631" s="124"/>
      <c r="B631" s="124"/>
      <c r="C631" s="124" t="s">
        <v>924</v>
      </c>
      <c r="D631" s="144">
        <f>SUM(D627:D630)</f>
        <v>710</v>
      </c>
      <c r="E631" s="144">
        <f>SUM(E627:E629)</f>
        <v>690</v>
      </c>
      <c r="F631" s="144">
        <f>SUM(F627:F629)</f>
        <v>690</v>
      </c>
      <c r="G631" s="144">
        <f>SUM(G627:G627)</f>
        <v>630</v>
      </c>
      <c r="H631" s="144">
        <f>SUM(H627:H627)</f>
        <v>0</v>
      </c>
    </row>
    <row r="632" spans="1:9" ht="15.75" customHeight="1">
      <c r="A632" s="121">
        <v>5</v>
      </c>
      <c r="B632" s="121" t="s">
        <v>533</v>
      </c>
      <c r="C632" s="121"/>
      <c r="D632" s="142"/>
      <c r="E632" s="142"/>
      <c r="F632" s="142"/>
      <c r="G632" s="142"/>
      <c r="H632" s="142"/>
    </row>
    <row r="633" spans="1:9">
      <c r="A633" s="121" t="s">
        <v>706</v>
      </c>
      <c r="B633" s="121"/>
      <c r="C633" s="121" t="s">
        <v>68</v>
      </c>
      <c r="D633" s="142">
        <v>100</v>
      </c>
      <c r="E633" s="142">
        <v>100</v>
      </c>
      <c r="F633" s="142">
        <v>100</v>
      </c>
      <c r="G633" s="142">
        <f>100</f>
        <v>100</v>
      </c>
      <c r="H633" s="142"/>
    </row>
    <row r="634" spans="1:9" ht="17.25" customHeight="1">
      <c r="A634" s="121" t="s">
        <v>709</v>
      </c>
      <c r="B634" s="121"/>
      <c r="C634" s="121" t="s">
        <v>69</v>
      </c>
      <c r="D634" s="142">
        <f>1090.8 - 88.4</f>
        <v>1002.4</v>
      </c>
      <c r="E634" s="142">
        <f>1090.8 - 88.4</f>
        <v>1002.4</v>
      </c>
      <c r="F634" s="142">
        <f>1090.8 - 88.4</f>
        <v>1002.4</v>
      </c>
      <c r="G634" s="142"/>
      <c r="H634" s="142"/>
    </row>
    <row r="635" spans="1:9" s="201" customFormat="1">
      <c r="A635" s="168" t="s">
        <v>710</v>
      </c>
      <c r="B635" s="168"/>
      <c r="C635" s="168" t="s">
        <v>60</v>
      </c>
      <c r="D635" s="167">
        <v>50</v>
      </c>
      <c r="E635" s="167">
        <v>0</v>
      </c>
      <c r="F635" s="167">
        <v>0</v>
      </c>
      <c r="G635" s="167"/>
      <c r="H635" s="167"/>
    </row>
    <row r="636" spans="1:9" s="201" customFormat="1">
      <c r="A636" s="168" t="s">
        <v>712</v>
      </c>
      <c r="B636" s="168"/>
      <c r="C636" s="168" t="s">
        <v>61</v>
      </c>
      <c r="D636" s="167">
        <v>0</v>
      </c>
      <c r="E636" s="167">
        <v>0</v>
      </c>
      <c r="F636" s="167">
        <v>0</v>
      </c>
      <c r="G636" s="167"/>
      <c r="H636" s="167"/>
    </row>
    <row r="637" spans="1:9" s="201" customFormat="1">
      <c r="A637" s="168" t="s">
        <v>713</v>
      </c>
      <c r="B637" s="168"/>
      <c r="C637" s="168" t="s">
        <v>62</v>
      </c>
      <c r="D637" s="167">
        <v>40</v>
      </c>
      <c r="E637" s="167">
        <v>0</v>
      </c>
      <c r="F637" s="167">
        <v>0</v>
      </c>
      <c r="G637" s="167"/>
      <c r="H637" s="167"/>
    </row>
    <row r="638" spans="1:9" s="201" customFormat="1">
      <c r="A638" s="168" t="s">
        <v>714</v>
      </c>
      <c r="B638" s="168"/>
      <c r="C638" s="168" t="s">
        <v>63</v>
      </c>
      <c r="D638" s="167">
        <v>30</v>
      </c>
      <c r="E638" s="167">
        <v>0</v>
      </c>
      <c r="F638" s="167">
        <v>0</v>
      </c>
      <c r="G638" s="167"/>
      <c r="H638" s="167"/>
    </row>
    <row r="639" spans="1:9">
      <c r="A639" s="124"/>
      <c r="B639" s="124"/>
      <c r="C639" s="124" t="s">
        <v>924</v>
      </c>
      <c r="D639" s="144">
        <f>SUM(D633:D638)</f>
        <v>1222.4000000000001</v>
      </c>
      <c r="E639" s="144">
        <f>SUM(E633:E634)</f>
        <v>1102.4000000000001</v>
      </c>
      <c r="F639" s="144">
        <f>SUM(F633:F634)</f>
        <v>1102.4000000000001</v>
      </c>
      <c r="G639" s="144">
        <f>SUM(G633:G633)</f>
        <v>100</v>
      </c>
      <c r="H639" s="144">
        <f>SUM(H633:H633)</f>
        <v>0</v>
      </c>
    </row>
    <row r="640" spans="1:9" s="201" customFormat="1">
      <c r="A640" s="168">
        <v>6</v>
      </c>
      <c r="B640" s="168" t="s">
        <v>58</v>
      </c>
      <c r="C640" s="168"/>
      <c r="D640" s="167"/>
      <c r="E640" s="167"/>
      <c r="F640" s="167"/>
      <c r="G640" s="167"/>
      <c r="H640" s="167"/>
    </row>
    <row r="641" spans="1:8" s="201" customFormat="1">
      <c r="A641" s="168" t="s">
        <v>706</v>
      </c>
      <c r="B641" s="168"/>
      <c r="C641" s="168" t="s">
        <v>711</v>
      </c>
      <c r="D641" s="167">
        <v>1000</v>
      </c>
      <c r="E641" s="167">
        <v>1000</v>
      </c>
      <c r="F641" s="167">
        <v>1000</v>
      </c>
      <c r="G641" s="167"/>
      <c r="H641" s="167"/>
    </row>
    <row r="642" spans="1:8" s="201" customFormat="1">
      <c r="A642" s="168" t="s">
        <v>709</v>
      </c>
      <c r="B642" s="168"/>
      <c r="C642" s="168" t="s">
        <v>110</v>
      </c>
      <c r="D642" s="167">
        <v>10</v>
      </c>
      <c r="E642" s="167">
        <v>0</v>
      </c>
      <c r="F642" s="167">
        <v>0</v>
      </c>
      <c r="G642" s="167"/>
      <c r="H642" s="167"/>
    </row>
    <row r="643" spans="1:8" s="201" customFormat="1">
      <c r="A643" s="168" t="s">
        <v>710</v>
      </c>
      <c r="B643" s="168"/>
      <c r="C643" s="168" t="s">
        <v>71</v>
      </c>
      <c r="D643" s="167">
        <v>150</v>
      </c>
      <c r="E643" s="167">
        <v>150</v>
      </c>
      <c r="F643" s="167">
        <v>150</v>
      </c>
      <c r="G643" s="167"/>
      <c r="H643" s="167"/>
    </row>
    <row r="644" spans="1:8" s="201" customFormat="1">
      <c r="A644" s="168" t="s">
        <v>712</v>
      </c>
      <c r="B644" s="168"/>
      <c r="C644" s="168" t="s">
        <v>502</v>
      </c>
      <c r="D644" s="167">
        <v>300</v>
      </c>
      <c r="E644" s="167">
        <v>300</v>
      </c>
      <c r="F644" s="167">
        <v>300</v>
      </c>
      <c r="G644" s="167"/>
      <c r="H644" s="167"/>
    </row>
    <row r="645" spans="1:8" s="201" customFormat="1">
      <c r="A645" s="168" t="s">
        <v>713</v>
      </c>
      <c r="B645" s="168"/>
      <c r="C645" s="168" t="s">
        <v>76</v>
      </c>
      <c r="D645" s="167">
        <v>60</v>
      </c>
      <c r="E645" s="167">
        <v>60</v>
      </c>
      <c r="F645" s="167">
        <v>60</v>
      </c>
      <c r="G645" s="167"/>
      <c r="H645" s="167"/>
    </row>
    <row r="646" spans="1:8" s="201" customFormat="1">
      <c r="A646" s="168" t="s">
        <v>714</v>
      </c>
      <c r="B646" s="168"/>
      <c r="C646" s="168" t="s">
        <v>75</v>
      </c>
      <c r="D646" s="167">
        <v>51.5</v>
      </c>
      <c r="E646" s="167">
        <v>51.5</v>
      </c>
      <c r="F646" s="167">
        <v>51.5</v>
      </c>
      <c r="G646" s="167"/>
      <c r="H646" s="167"/>
    </row>
    <row r="647" spans="1:8" s="201" customFormat="1">
      <c r="A647" s="168" t="s">
        <v>715</v>
      </c>
      <c r="B647" s="168"/>
      <c r="C647" s="168" t="s">
        <v>516</v>
      </c>
      <c r="D647" s="167">
        <v>50</v>
      </c>
      <c r="E647" s="167">
        <v>50</v>
      </c>
      <c r="F647" s="167">
        <v>50</v>
      </c>
      <c r="G647" s="167"/>
      <c r="H647" s="167"/>
    </row>
    <row r="648" spans="1:8" s="201" customFormat="1">
      <c r="A648" s="168" t="s">
        <v>716</v>
      </c>
      <c r="B648" s="168"/>
      <c r="C648" s="168" t="s">
        <v>361</v>
      </c>
      <c r="D648" s="167">
        <v>9</v>
      </c>
      <c r="E648" s="167">
        <v>9</v>
      </c>
      <c r="F648" s="167">
        <v>9</v>
      </c>
      <c r="G648" s="167"/>
      <c r="H648" s="167"/>
    </row>
    <row r="649" spans="1:8" s="201" customFormat="1">
      <c r="A649" s="168" t="s">
        <v>911</v>
      </c>
      <c r="B649" s="168"/>
      <c r="C649" s="168" t="s">
        <v>949</v>
      </c>
      <c r="D649" s="167">
        <v>100</v>
      </c>
      <c r="E649" s="167">
        <v>100</v>
      </c>
      <c r="F649" s="167">
        <v>100</v>
      </c>
      <c r="G649" s="167"/>
      <c r="H649" s="167"/>
    </row>
    <row r="650" spans="1:8">
      <c r="A650" s="124"/>
      <c r="B650" s="124"/>
      <c r="C650" s="124" t="s">
        <v>924</v>
      </c>
      <c r="D650" s="144">
        <f>SUM(D641:D649)</f>
        <v>1730.5</v>
      </c>
      <c r="E650" s="144">
        <f>SUM(E641:E649)</f>
        <v>1720.5</v>
      </c>
      <c r="F650" s="144">
        <f>SUM(F641:F649)</f>
        <v>1720.5</v>
      </c>
      <c r="G650" s="144">
        <f>SUM(G641:G648)</f>
        <v>0</v>
      </c>
      <c r="H650" s="144">
        <f>SUM(H641:H648)</f>
        <v>0</v>
      </c>
    </row>
    <row r="651" spans="1:8" s="201" customFormat="1">
      <c r="A651" s="168">
        <v>7</v>
      </c>
      <c r="B651" s="168" t="s">
        <v>105</v>
      </c>
      <c r="C651" s="168"/>
      <c r="D651" s="167"/>
      <c r="E651" s="167"/>
      <c r="F651" s="167"/>
      <c r="G651" s="167"/>
      <c r="H651" s="167"/>
    </row>
    <row r="652" spans="1:8" s="201" customFormat="1">
      <c r="A652" s="168" t="s">
        <v>706</v>
      </c>
      <c r="B652" s="168"/>
      <c r="C652" s="168" t="s">
        <v>711</v>
      </c>
      <c r="D652" s="167">
        <v>180</v>
      </c>
      <c r="E652" s="167">
        <v>180</v>
      </c>
      <c r="F652" s="167">
        <v>180</v>
      </c>
      <c r="G652" s="167"/>
      <c r="H652" s="167"/>
    </row>
    <row r="653" spans="1:8" s="201" customFormat="1">
      <c r="A653" s="168" t="s">
        <v>709</v>
      </c>
      <c r="B653" s="168"/>
      <c r="C653" s="168" t="s">
        <v>361</v>
      </c>
      <c r="D653" s="167">
        <v>7.5</v>
      </c>
      <c r="E653" s="167">
        <v>9</v>
      </c>
      <c r="F653" s="167">
        <v>9</v>
      </c>
      <c r="G653" s="167"/>
      <c r="H653" s="167"/>
    </row>
    <row r="654" spans="1:8" s="201" customFormat="1">
      <c r="A654" s="168" t="s">
        <v>710</v>
      </c>
      <c r="B654" s="168"/>
      <c r="C654" s="168" t="s">
        <v>108</v>
      </c>
      <c r="D654" s="167">
        <v>30</v>
      </c>
      <c r="E654" s="167">
        <v>0</v>
      </c>
      <c r="F654" s="167">
        <v>0</v>
      </c>
      <c r="G654" s="167"/>
      <c r="H654" s="167"/>
    </row>
    <row r="655" spans="1:8">
      <c r="A655" s="124"/>
      <c r="B655" s="124"/>
      <c r="C655" s="124" t="s">
        <v>924</v>
      </c>
      <c r="D655" s="144">
        <f>SUM(D652:D654)</f>
        <v>217.5</v>
      </c>
      <c r="E655" s="144">
        <f>SUM(E652:E654)</f>
        <v>189</v>
      </c>
      <c r="F655" s="144">
        <f>SUM(F652:F654)</f>
        <v>189</v>
      </c>
      <c r="G655" s="144">
        <f>SUM(G652:G652)</f>
        <v>0</v>
      </c>
      <c r="H655" s="144">
        <f>SUM(H652:H652)</f>
        <v>0</v>
      </c>
    </row>
    <row r="656" spans="1:8" s="201" customFormat="1">
      <c r="A656" s="168">
        <v>8</v>
      </c>
      <c r="B656" s="168"/>
      <c r="C656" s="168"/>
      <c r="D656" s="167"/>
      <c r="E656" s="167"/>
      <c r="F656" s="167"/>
      <c r="G656" s="167"/>
      <c r="H656" s="167"/>
    </row>
    <row r="657" spans="1:8" s="201" customFormat="1">
      <c r="A657" s="168" t="s">
        <v>706</v>
      </c>
      <c r="B657" s="168"/>
      <c r="C657" s="168" t="s">
        <v>828</v>
      </c>
      <c r="D657" s="167">
        <v>30</v>
      </c>
      <c r="E657" s="167">
        <v>0</v>
      </c>
      <c r="F657" s="167">
        <v>0</v>
      </c>
      <c r="G657" s="167"/>
      <c r="H657" s="167"/>
    </row>
    <row r="658" spans="1:8" s="201" customFormat="1">
      <c r="A658" s="168" t="s">
        <v>709</v>
      </c>
      <c r="B658" s="168"/>
      <c r="C658" s="168" t="s">
        <v>806</v>
      </c>
      <c r="D658" s="167">
        <v>89</v>
      </c>
      <c r="E658" s="167">
        <v>0</v>
      </c>
      <c r="F658" s="167">
        <v>0</v>
      </c>
      <c r="G658" s="167"/>
      <c r="H658" s="167"/>
    </row>
    <row r="659" spans="1:8" s="201" customFormat="1">
      <c r="A659" s="168" t="s">
        <v>710</v>
      </c>
      <c r="B659" s="168"/>
      <c r="C659" s="168" t="s">
        <v>59</v>
      </c>
      <c r="D659" s="167">
        <v>3</v>
      </c>
      <c r="E659" s="167">
        <v>0</v>
      </c>
      <c r="F659" s="167">
        <v>0</v>
      </c>
      <c r="G659" s="167"/>
      <c r="H659" s="167"/>
    </row>
    <row r="660" spans="1:8">
      <c r="A660" s="124"/>
      <c r="B660" s="124"/>
      <c r="C660" s="124" t="s">
        <v>924</v>
      </c>
      <c r="D660" s="144">
        <f>SUM(D657:D659)</f>
        <v>122</v>
      </c>
      <c r="E660" s="144">
        <f>SUM(E657:E659)</f>
        <v>0</v>
      </c>
      <c r="F660" s="144">
        <f>SUM(F657:F659)</f>
        <v>0</v>
      </c>
      <c r="G660" s="144">
        <f>SUM(G657:G657)</f>
        <v>0</v>
      </c>
      <c r="H660" s="144">
        <f>SUM(H657:H657)</f>
        <v>0</v>
      </c>
    </row>
    <row r="661" spans="1:8">
      <c r="A661" s="121">
        <v>9</v>
      </c>
      <c r="B661" s="121" t="s">
        <v>298</v>
      </c>
      <c r="C661" s="121"/>
      <c r="D661" s="142"/>
      <c r="E661" s="142"/>
      <c r="F661" s="142"/>
      <c r="G661" s="142"/>
      <c r="H661" s="142"/>
    </row>
    <row r="662" spans="1:8">
      <c r="A662" s="121" t="s">
        <v>706</v>
      </c>
      <c r="B662" s="121"/>
      <c r="C662" s="121" t="s">
        <v>129</v>
      </c>
      <c r="D662" s="142">
        <v>200</v>
      </c>
      <c r="E662" s="142">
        <v>200</v>
      </c>
      <c r="F662" s="142">
        <v>200</v>
      </c>
      <c r="G662" s="142"/>
      <c r="H662" s="142"/>
    </row>
    <row r="663" spans="1:8">
      <c r="A663" s="124"/>
      <c r="B663" s="124"/>
      <c r="C663" s="124" t="s">
        <v>924</v>
      </c>
      <c r="D663" s="144">
        <f>SUM(D662:D662)</f>
        <v>200</v>
      </c>
      <c r="E663" s="144">
        <f>SUM(E662:E662)</f>
        <v>200</v>
      </c>
      <c r="F663" s="144">
        <f>SUM(F662:F662)</f>
        <v>200</v>
      </c>
      <c r="G663" s="144">
        <f>SUM(G662:G662)</f>
        <v>0</v>
      </c>
      <c r="H663" s="144">
        <f>SUM(H662:H662)</f>
        <v>0</v>
      </c>
    </row>
    <row r="664" spans="1:8">
      <c r="A664" s="121">
        <v>10</v>
      </c>
      <c r="B664" s="121" t="s">
        <v>566</v>
      </c>
      <c r="C664" s="121"/>
      <c r="D664" s="142"/>
      <c r="E664" s="142"/>
      <c r="F664" s="142"/>
      <c r="G664" s="142"/>
      <c r="H664" s="142"/>
    </row>
    <row r="665" spans="1:8">
      <c r="A665" s="121" t="s">
        <v>706</v>
      </c>
      <c r="B665" s="121"/>
      <c r="C665" s="121" t="s">
        <v>64</v>
      </c>
      <c r="D665" s="142">
        <v>32</v>
      </c>
      <c r="E665" s="142">
        <v>32</v>
      </c>
      <c r="F665" s="142">
        <v>32</v>
      </c>
      <c r="G665" s="142"/>
      <c r="H665" s="142"/>
    </row>
    <row r="666" spans="1:8">
      <c r="A666" s="124"/>
      <c r="B666" s="124"/>
      <c r="C666" s="124" t="s">
        <v>924</v>
      </c>
      <c r="D666" s="144">
        <f>SUM(D665:D665)</f>
        <v>32</v>
      </c>
      <c r="E666" s="144">
        <f>SUM(E665:E665)</f>
        <v>32</v>
      </c>
      <c r="F666" s="144">
        <f>SUM(F665:F665)</f>
        <v>32</v>
      </c>
      <c r="G666" s="144">
        <f>SUM(G665:G665)</f>
        <v>0</v>
      </c>
      <c r="H666" s="144">
        <f>SUM(H665:H665)</f>
        <v>0</v>
      </c>
    </row>
    <row r="667" spans="1:8" ht="15.75" customHeight="1">
      <c r="A667" s="121">
        <v>11</v>
      </c>
      <c r="B667" s="121" t="s">
        <v>932</v>
      </c>
      <c r="C667" s="121"/>
      <c r="D667" s="142"/>
      <c r="E667" s="142"/>
      <c r="F667" s="142"/>
      <c r="G667" s="142"/>
      <c r="H667" s="142"/>
    </row>
    <row r="668" spans="1:8">
      <c r="A668" s="121" t="s">
        <v>706</v>
      </c>
      <c r="B668" s="121"/>
      <c r="C668" s="121" t="s">
        <v>67</v>
      </c>
      <c r="D668" s="142">
        <v>2500</v>
      </c>
      <c r="E668" s="142">
        <v>2500</v>
      </c>
      <c r="F668" s="142">
        <v>2500</v>
      </c>
      <c r="G668" s="142"/>
      <c r="H668" s="142"/>
    </row>
    <row r="669" spans="1:8" ht="17.25" customHeight="1">
      <c r="A669" s="121" t="s">
        <v>709</v>
      </c>
      <c r="B669" s="121"/>
      <c r="C669" s="121" t="s">
        <v>66</v>
      </c>
      <c r="D669" s="142">
        <v>1500</v>
      </c>
      <c r="E669" s="142">
        <v>1000</v>
      </c>
      <c r="F669" s="142">
        <v>1000</v>
      </c>
      <c r="G669" s="142"/>
      <c r="H669" s="142"/>
    </row>
    <row r="670" spans="1:8" ht="17.25" customHeight="1">
      <c r="A670" s="121" t="s">
        <v>710</v>
      </c>
      <c r="B670" s="121"/>
      <c r="C670" s="121" t="s">
        <v>361</v>
      </c>
      <c r="D670" s="142">
        <v>9</v>
      </c>
      <c r="E670" s="142">
        <v>9</v>
      </c>
      <c r="F670" s="142">
        <v>9</v>
      </c>
      <c r="G670" s="142"/>
      <c r="H670" s="142"/>
    </row>
    <row r="671" spans="1:8" ht="17.25" customHeight="1">
      <c r="A671" s="121" t="s">
        <v>712</v>
      </c>
      <c r="B671" s="121"/>
      <c r="C671" s="121" t="s">
        <v>74</v>
      </c>
      <c r="D671" s="142">
        <v>35</v>
      </c>
      <c r="E671" s="142">
        <v>35</v>
      </c>
      <c r="F671" s="142">
        <v>35</v>
      </c>
      <c r="G671" s="142"/>
      <c r="H671" s="142"/>
    </row>
    <row r="672" spans="1:8">
      <c r="A672" s="124"/>
      <c r="B672" s="124"/>
      <c r="C672" s="124" t="s">
        <v>924</v>
      </c>
      <c r="D672" s="144">
        <f>SUM(D668:D671)</f>
        <v>4044</v>
      </c>
      <c r="E672" s="144">
        <f>SUM(E668:E671)</f>
        <v>3544</v>
      </c>
      <c r="F672" s="144">
        <f>SUM(F668:F671)</f>
        <v>3544</v>
      </c>
      <c r="G672" s="144">
        <f>SUM(G668:G670)</f>
        <v>0</v>
      </c>
      <c r="H672" s="144">
        <f>SUM(H668:H670)</f>
        <v>0</v>
      </c>
    </row>
    <row r="673" spans="1:8">
      <c r="A673" s="121">
        <v>12</v>
      </c>
      <c r="B673" s="121" t="s">
        <v>648</v>
      </c>
      <c r="C673" s="121"/>
      <c r="D673" s="142"/>
      <c r="E673" s="142"/>
      <c r="F673" s="142"/>
      <c r="G673" s="142"/>
      <c r="H673" s="142"/>
    </row>
    <row r="674" spans="1:8">
      <c r="A674" s="121" t="s">
        <v>706</v>
      </c>
      <c r="B674" s="121"/>
      <c r="C674" s="121" t="s">
        <v>77</v>
      </c>
      <c r="D674" s="142">
        <v>1500</v>
      </c>
      <c r="E674" s="142">
        <v>1500</v>
      </c>
      <c r="F674" s="142">
        <v>1500</v>
      </c>
      <c r="G674" s="142"/>
      <c r="H674" s="142"/>
    </row>
    <row r="675" spans="1:8" s="208" customFormat="1">
      <c r="A675" s="124"/>
      <c r="B675" s="124"/>
      <c r="C675" s="124" t="s">
        <v>924</v>
      </c>
      <c r="D675" s="144">
        <f>SUM(D674:D674)</f>
        <v>1500</v>
      </c>
      <c r="E675" s="144">
        <f>SUM(E674:E674)</f>
        <v>1500</v>
      </c>
      <c r="F675" s="144">
        <f>SUM(F674:F674)</f>
        <v>1500</v>
      </c>
      <c r="G675" s="144">
        <f>SUM(G674:G674)</f>
        <v>0</v>
      </c>
      <c r="H675" s="144">
        <f>SUM(H674:H674)</f>
        <v>0</v>
      </c>
    </row>
    <row r="676" spans="1:8" s="157" customFormat="1">
      <c r="A676" s="156">
        <v>13</v>
      </c>
      <c r="B676" s="156" t="s">
        <v>327</v>
      </c>
      <c r="C676" s="156"/>
      <c r="D676" s="143"/>
      <c r="E676" s="143"/>
      <c r="F676" s="143"/>
      <c r="G676" s="143"/>
      <c r="H676" s="143"/>
    </row>
    <row r="677" spans="1:8" s="157" customFormat="1">
      <c r="A677" s="156" t="s">
        <v>706</v>
      </c>
      <c r="B677" s="156"/>
      <c r="C677" s="156" t="s">
        <v>78</v>
      </c>
      <c r="D677" s="143">
        <v>59.99</v>
      </c>
      <c r="E677" s="143">
        <v>59.99</v>
      </c>
      <c r="F677" s="143">
        <v>59.99</v>
      </c>
      <c r="G677" s="143">
        <f>59.99</f>
        <v>59.99</v>
      </c>
      <c r="H677" s="143"/>
    </row>
    <row r="678" spans="1:8" s="208" customFormat="1">
      <c r="A678" s="124"/>
      <c r="B678" s="124"/>
      <c r="C678" s="124" t="s">
        <v>924</v>
      </c>
      <c r="D678" s="144">
        <f>SUM(D677:D677)</f>
        <v>59.99</v>
      </c>
      <c r="E678" s="144">
        <f>SUM(E677:E677)</f>
        <v>59.99</v>
      </c>
      <c r="F678" s="144">
        <f>SUM(F677:F677)</f>
        <v>59.99</v>
      </c>
      <c r="G678" s="144">
        <f>SUM(G677:G677)</f>
        <v>59.99</v>
      </c>
      <c r="H678" s="144">
        <f>SUM(H677:H677)</f>
        <v>0</v>
      </c>
    </row>
    <row r="679" spans="1:8" ht="12" customHeight="1">
      <c r="A679" s="207" t="s">
        <v>65</v>
      </c>
      <c r="B679" s="204"/>
      <c r="C679" s="204" t="s">
        <v>65</v>
      </c>
      <c r="D679" s="205">
        <f>SUM(E672,E678,E675,D666,D663,D660,D655,D650,D639,D631,D625,D618,D614,D672,D675)</f>
        <v>19680.39</v>
      </c>
      <c r="E679" s="205">
        <f>SUM(F672,F678,F675,E666,E663,E660,E655,E650,E639,E631,E625,E618,E614,E672,E675)</f>
        <v>14099.89</v>
      </c>
      <c r="F679" s="205">
        <f>SUM(G672,G678,G675,F666,F663,F660,F655,F650,F639,F631,F625,F618,F614,F672,F675)</f>
        <v>9055.89</v>
      </c>
      <c r="G679" s="205">
        <f>SUM(H672,H678,H675,G666,G663,G660,G655,G650,G639,G631,G625,G618,G614,G672,G675)</f>
        <v>748</v>
      </c>
      <c r="H679" s="205">
        <f>SUM(I672,I678,I675,H666,H663,H660,H655,H650,H639,H631,H625,H618,H614,H672,H675)</f>
        <v>0</v>
      </c>
    </row>
    <row r="680" spans="1:8" ht="12" customHeight="1">
      <c r="A680" s="209" t="s">
        <v>79</v>
      </c>
      <c r="B680" s="210"/>
      <c r="C680" s="210" t="s">
        <v>9</v>
      </c>
      <c r="D680" s="211"/>
      <c r="E680" s="211"/>
      <c r="F680" s="212"/>
      <c r="G680" s="212"/>
      <c r="H680" s="212"/>
    </row>
    <row r="681" spans="1:8" ht="15.75" customHeight="1">
      <c r="A681" s="117"/>
      <c r="B681" s="118" t="s">
        <v>923</v>
      </c>
      <c r="C681" s="118" t="s">
        <v>699</v>
      </c>
      <c r="D681" s="140" t="s">
        <v>700</v>
      </c>
      <c r="E681" s="140" t="s">
        <v>701</v>
      </c>
      <c r="F681" s="141" t="s">
        <v>702</v>
      </c>
      <c r="G681" s="141" t="s">
        <v>703</v>
      </c>
      <c r="H681" s="141" t="s">
        <v>704</v>
      </c>
    </row>
    <row r="682" spans="1:8">
      <c r="A682" s="121">
        <v>1</v>
      </c>
      <c r="B682" s="121" t="s">
        <v>816</v>
      </c>
      <c r="C682" s="121"/>
      <c r="D682" s="142"/>
      <c r="E682" s="142"/>
      <c r="F682" s="142"/>
      <c r="G682" s="142"/>
      <c r="H682" s="142"/>
    </row>
    <row r="683" spans="1:8">
      <c r="A683" s="121" t="s">
        <v>706</v>
      </c>
      <c r="B683" s="121"/>
      <c r="C683" s="121" t="s">
        <v>678</v>
      </c>
      <c r="D683" s="142">
        <v>3510</v>
      </c>
      <c r="E683" s="142">
        <v>3510</v>
      </c>
      <c r="F683" s="142">
        <v>3510</v>
      </c>
      <c r="G683" s="142"/>
      <c r="H683" s="142"/>
    </row>
    <row r="684" spans="1:8">
      <c r="A684" s="121" t="s">
        <v>709</v>
      </c>
      <c r="B684" s="121"/>
      <c r="C684" s="121" t="s">
        <v>80</v>
      </c>
      <c r="D684" s="142">
        <v>3500</v>
      </c>
      <c r="E684" s="142">
        <v>3500</v>
      </c>
      <c r="F684" s="142">
        <v>3500</v>
      </c>
      <c r="G684" s="142"/>
      <c r="H684" s="142"/>
    </row>
    <row r="685" spans="1:8">
      <c r="A685" s="124"/>
      <c r="B685" s="124"/>
      <c r="C685" s="124" t="s">
        <v>924</v>
      </c>
      <c r="D685" s="144">
        <f>SUM(D683:D684)</f>
        <v>7010</v>
      </c>
      <c r="E685" s="144">
        <f>SUM(E683:E684)</f>
        <v>7010</v>
      </c>
      <c r="F685" s="144">
        <f>SUM(F683:F684)</f>
        <v>7010</v>
      </c>
      <c r="G685" s="144">
        <f>SUM(G683:G684)</f>
        <v>0</v>
      </c>
      <c r="H685" s="144">
        <f>SUM(H683:H684)</f>
        <v>0</v>
      </c>
    </row>
    <row r="686" spans="1:8" ht="15.75" customHeight="1">
      <c r="A686" s="121">
        <v>2</v>
      </c>
      <c r="B686" s="121" t="s">
        <v>232</v>
      </c>
      <c r="C686" s="121"/>
      <c r="D686" s="142"/>
      <c r="E686" s="142"/>
      <c r="F686" s="142"/>
      <c r="G686" s="142"/>
      <c r="H686" s="142"/>
    </row>
    <row r="687" spans="1:8">
      <c r="A687" s="121" t="s">
        <v>706</v>
      </c>
      <c r="B687" s="121"/>
      <c r="C687" s="121" t="s">
        <v>363</v>
      </c>
      <c r="D687" s="142">
        <v>500</v>
      </c>
      <c r="E687" s="142">
        <v>0</v>
      </c>
      <c r="F687" s="142">
        <v>0</v>
      </c>
      <c r="G687" s="142"/>
      <c r="H687" s="142"/>
    </row>
    <row r="688" spans="1:8" ht="17.25" customHeight="1">
      <c r="A688" s="121" t="s">
        <v>709</v>
      </c>
      <c r="B688" s="121"/>
      <c r="C688" s="121" t="s">
        <v>363</v>
      </c>
      <c r="D688" s="142">
        <v>500</v>
      </c>
      <c r="E688" s="142">
        <v>500</v>
      </c>
      <c r="F688" s="142">
        <v>500</v>
      </c>
      <c r="G688" s="142"/>
      <c r="H688" s="142"/>
    </row>
    <row r="689" spans="1:9" ht="17.25" customHeight="1">
      <c r="A689" s="121" t="s">
        <v>710</v>
      </c>
      <c r="B689" s="121"/>
      <c r="C689" s="121" t="s">
        <v>233</v>
      </c>
      <c r="D689" s="142">
        <v>9</v>
      </c>
      <c r="E689" s="142">
        <v>9</v>
      </c>
      <c r="F689" s="142">
        <v>9</v>
      </c>
      <c r="G689" s="142"/>
      <c r="H689" s="142"/>
    </row>
    <row r="690" spans="1:9">
      <c r="A690" s="124"/>
      <c r="B690" s="124"/>
      <c r="C690" s="124" t="s">
        <v>924</v>
      </c>
      <c r="D690" s="144">
        <f>SUM(D687:D689)</f>
        <v>1009</v>
      </c>
      <c r="E690" s="144">
        <f>SUM(E687:E689)</f>
        <v>509</v>
      </c>
      <c r="F690" s="144">
        <f>SUM(F687:F689)</f>
        <v>509</v>
      </c>
      <c r="G690" s="144">
        <f>SUM(G687:G689)</f>
        <v>0</v>
      </c>
      <c r="H690" s="144">
        <f>SUM(H687:H689)</f>
        <v>0</v>
      </c>
    </row>
    <row r="691" spans="1:9">
      <c r="A691" s="121">
        <v>3</v>
      </c>
      <c r="B691" s="121" t="s">
        <v>81</v>
      </c>
      <c r="C691" s="121"/>
      <c r="D691" s="142"/>
      <c r="E691" s="142"/>
      <c r="F691" s="142"/>
      <c r="G691" s="142"/>
      <c r="H691" s="142"/>
    </row>
    <row r="692" spans="1:9">
      <c r="A692" s="121" t="s">
        <v>706</v>
      </c>
      <c r="B692" s="121"/>
      <c r="C692" s="121" t="s">
        <v>82</v>
      </c>
      <c r="D692" s="142">
        <v>200</v>
      </c>
      <c r="E692" s="142"/>
      <c r="F692" s="142"/>
      <c r="G692" s="142"/>
      <c r="H692" s="142"/>
    </row>
    <row r="693" spans="1:9">
      <c r="A693" s="121" t="s">
        <v>709</v>
      </c>
      <c r="B693" s="121"/>
      <c r="C693" s="121" t="s">
        <v>83</v>
      </c>
      <c r="D693" s="142">
        <v>100</v>
      </c>
      <c r="E693" s="142"/>
      <c r="F693" s="142"/>
      <c r="G693" s="142"/>
      <c r="H693" s="142"/>
    </row>
    <row r="694" spans="1:9">
      <c r="A694" s="124"/>
      <c r="B694" s="124"/>
      <c r="C694" s="124" t="s">
        <v>924</v>
      </c>
      <c r="D694" s="144">
        <f>SUM(D692:D693)</f>
        <v>300</v>
      </c>
      <c r="E694" s="144">
        <f>SUM(E692:E693)</f>
        <v>0</v>
      </c>
      <c r="F694" s="144">
        <f>SUM(F692:F693)</f>
        <v>0</v>
      </c>
      <c r="G694" s="144">
        <f>SUM(G692:G693)</f>
        <v>0</v>
      </c>
      <c r="H694" s="144">
        <f>SUM(H692:H693)</f>
        <v>0</v>
      </c>
    </row>
    <row r="695" spans="1:9">
      <c r="A695" s="121">
        <v>4</v>
      </c>
      <c r="B695" s="121" t="s">
        <v>533</v>
      </c>
      <c r="C695" s="121"/>
      <c r="D695" s="142"/>
      <c r="E695" s="142"/>
      <c r="F695" s="142"/>
      <c r="G695" s="142"/>
      <c r="H695" s="142"/>
    </row>
    <row r="696" spans="1:9">
      <c r="A696" s="121" t="s">
        <v>706</v>
      </c>
      <c r="B696" s="121"/>
      <c r="C696" s="121" t="s">
        <v>84</v>
      </c>
      <c r="D696" s="142">
        <v>196.46</v>
      </c>
      <c r="E696" s="142">
        <v>0</v>
      </c>
      <c r="F696" s="142">
        <v>0</v>
      </c>
      <c r="G696" s="142"/>
      <c r="H696" s="142"/>
      <c r="I696">
        <f>15.3+102+140.22</f>
        <v>257.52</v>
      </c>
    </row>
    <row r="697" spans="1:9">
      <c r="A697" s="124"/>
      <c r="B697" s="124"/>
      <c r="C697" s="124" t="s">
        <v>924</v>
      </c>
      <c r="D697" s="144">
        <f>SUM(D696:D696)</f>
        <v>196.46</v>
      </c>
      <c r="E697" s="144">
        <f>SUM(E696:E696)</f>
        <v>0</v>
      </c>
      <c r="F697" s="144">
        <f>SUM(F696:F696)</f>
        <v>0</v>
      </c>
      <c r="G697" s="144">
        <f>SUM(G696:G696)</f>
        <v>0</v>
      </c>
      <c r="H697" s="144">
        <f>SUM(H696:H696)</f>
        <v>0</v>
      </c>
    </row>
    <row r="698" spans="1:9" ht="15.75" customHeight="1">
      <c r="A698" s="121">
        <v>5</v>
      </c>
      <c r="B698" s="121" t="s">
        <v>85</v>
      </c>
      <c r="C698" s="121"/>
      <c r="D698" s="142"/>
      <c r="E698" s="142"/>
      <c r="F698" s="142"/>
      <c r="G698" s="142"/>
      <c r="H698" s="142"/>
    </row>
    <row r="699" spans="1:9">
      <c r="A699" s="121" t="s">
        <v>706</v>
      </c>
      <c r="B699" s="121"/>
      <c r="C699" s="121" t="s">
        <v>659</v>
      </c>
      <c r="D699" s="142">
        <v>100</v>
      </c>
      <c r="E699" s="142">
        <v>100</v>
      </c>
      <c r="F699" s="142">
        <v>100</v>
      </c>
      <c r="G699" s="142"/>
      <c r="H699" s="142"/>
    </row>
    <row r="700" spans="1:9" ht="17.25" customHeight="1">
      <c r="A700" s="121" t="s">
        <v>709</v>
      </c>
      <c r="B700" s="121"/>
      <c r="C700" s="121" t="s">
        <v>86</v>
      </c>
      <c r="D700" s="142">
        <v>100</v>
      </c>
      <c r="E700" s="142">
        <v>100</v>
      </c>
      <c r="F700" s="142">
        <v>100</v>
      </c>
      <c r="G700" s="142"/>
      <c r="H700" s="142"/>
    </row>
    <row r="701" spans="1:9" s="213" customFormat="1">
      <c r="A701" s="168" t="s">
        <v>710</v>
      </c>
      <c r="B701" s="168"/>
      <c r="C701" s="168" t="s">
        <v>657</v>
      </c>
      <c r="D701" s="167">
        <v>590</v>
      </c>
      <c r="E701" s="167">
        <v>440</v>
      </c>
      <c r="F701" s="167">
        <v>440</v>
      </c>
      <c r="G701" s="167"/>
      <c r="H701" s="167"/>
    </row>
    <row r="702" spans="1:9" s="213" customFormat="1">
      <c r="A702" s="168" t="s">
        <v>712</v>
      </c>
      <c r="B702" s="168"/>
      <c r="C702" s="168" t="s">
        <v>87</v>
      </c>
      <c r="D702" s="167">
        <v>150</v>
      </c>
      <c r="E702" s="167" t="s">
        <v>862</v>
      </c>
      <c r="F702" s="167" t="s">
        <v>862</v>
      </c>
      <c r="G702" s="167"/>
      <c r="H702" s="167"/>
    </row>
    <row r="703" spans="1:9" s="213" customFormat="1">
      <c r="A703" s="168" t="s">
        <v>713</v>
      </c>
      <c r="B703" s="168"/>
      <c r="C703" s="168" t="s">
        <v>88</v>
      </c>
      <c r="D703" s="167">
        <v>100</v>
      </c>
      <c r="E703" s="167" t="s">
        <v>862</v>
      </c>
      <c r="F703" s="167" t="s">
        <v>862</v>
      </c>
      <c r="G703" s="167"/>
      <c r="H703" s="167"/>
    </row>
    <row r="704" spans="1:9" s="213" customFormat="1">
      <c r="A704" s="168" t="s">
        <v>714</v>
      </c>
      <c r="B704" s="168"/>
      <c r="C704" s="168" t="s">
        <v>89</v>
      </c>
      <c r="D704" s="167">
        <v>100</v>
      </c>
      <c r="E704" s="167">
        <v>0</v>
      </c>
      <c r="F704" s="167">
        <v>0</v>
      </c>
      <c r="G704" s="167"/>
      <c r="H704" s="167"/>
    </row>
    <row r="705" spans="1:9" s="213" customFormat="1">
      <c r="A705" s="168" t="s">
        <v>715</v>
      </c>
      <c r="B705" s="168"/>
      <c r="C705" s="168" t="s">
        <v>233</v>
      </c>
      <c r="D705" s="167">
        <v>9</v>
      </c>
      <c r="E705" s="167">
        <v>9</v>
      </c>
      <c r="F705" s="167">
        <v>9</v>
      </c>
      <c r="G705" s="167"/>
      <c r="H705" s="167"/>
    </row>
    <row r="706" spans="1:9" s="213" customFormat="1">
      <c r="A706" s="168" t="s">
        <v>716</v>
      </c>
      <c r="B706" s="168"/>
      <c r="C706" s="168" t="s">
        <v>0</v>
      </c>
      <c r="D706" s="167">
        <v>6</v>
      </c>
      <c r="E706" s="167">
        <v>6</v>
      </c>
      <c r="F706" s="167">
        <v>6</v>
      </c>
      <c r="G706" s="167"/>
      <c r="H706" s="167"/>
    </row>
    <row r="707" spans="1:9" s="213" customFormat="1">
      <c r="A707" s="168" t="s">
        <v>911</v>
      </c>
      <c r="B707" s="168"/>
      <c r="C707" s="168" t="s">
        <v>1</v>
      </c>
      <c r="D707" s="167">
        <v>90</v>
      </c>
      <c r="E707" s="167">
        <v>0</v>
      </c>
      <c r="F707" s="167">
        <v>0</v>
      </c>
      <c r="G707" s="167"/>
      <c r="H707" s="167"/>
    </row>
    <row r="708" spans="1:9">
      <c r="A708" s="124"/>
      <c r="B708" s="124"/>
      <c r="C708" s="124" t="s">
        <v>924</v>
      </c>
      <c r="D708" s="144">
        <f>SUM(D699:D707)</f>
        <v>1245</v>
      </c>
      <c r="E708" s="144">
        <f>SUM(E699:E707)</f>
        <v>655</v>
      </c>
      <c r="F708" s="144">
        <f>SUM(F699:F707)</f>
        <v>655</v>
      </c>
      <c r="G708" s="144">
        <f>SUM(G699:G707)</f>
        <v>0</v>
      </c>
      <c r="H708" s="144">
        <f>SUM(H699:H699)</f>
        <v>0</v>
      </c>
    </row>
    <row r="709" spans="1:9" ht="15.75" customHeight="1">
      <c r="A709" s="121">
        <v>6</v>
      </c>
      <c r="B709" s="121" t="s">
        <v>655</v>
      </c>
      <c r="C709" s="121"/>
      <c r="D709" s="142"/>
      <c r="E709" s="142"/>
      <c r="F709" s="142"/>
      <c r="G709" s="142"/>
      <c r="H709" s="142"/>
    </row>
    <row r="710" spans="1:9">
      <c r="A710" s="121" t="s">
        <v>706</v>
      </c>
      <c r="B710" s="121"/>
      <c r="C710" s="121" t="s">
        <v>87</v>
      </c>
      <c r="D710" s="142">
        <v>100</v>
      </c>
      <c r="E710" s="142">
        <v>100</v>
      </c>
      <c r="F710" s="142">
        <v>100</v>
      </c>
      <c r="G710" s="142">
        <f>95.61</f>
        <v>95.61</v>
      </c>
      <c r="H710" s="142"/>
    </row>
    <row r="711" spans="1:9" ht="17.25" customHeight="1">
      <c r="A711" s="121" t="s">
        <v>709</v>
      </c>
      <c r="B711" s="121"/>
      <c r="C711" s="121" t="s">
        <v>88</v>
      </c>
      <c r="D711" s="142">
        <v>70</v>
      </c>
      <c r="E711" s="142">
        <v>70</v>
      </c>
      <c r="F711" s="142">
        <v>70</v>
      </c>
      <c r="G711" s="142">
        <f>68.16</f>
        <v>68.16</v>
      </c>
      <c r="H711" s="142"/>
    </row>
    <row r="712" spans="1:9" s="213" customFormat="1">
      <c r="A712" s="168" t="s">
        <v>710</v>
      </c>
      <c r="B712" s="168"/>
      <c r="C712" s="168" t="s">
        <v>2</v>
      </c>
      <c r="D712" s="167">
        <v>100</v>
      </c>
      <c r="E712" s="167">
        <v>100</v>
      </c>
      <c r="F712" s="167">
        <v>100</v>
      </c>
      <c r="G712" s="167"/>
      <c r="H712" s="167"/>
    </row>
    <row r="713" spans="1:9" s="213" customFormat="1">
      <c r="A713" s="168" t="s">
        <v>712</v>
      </c>
      <c r="B713" s="168"/>
      <c r="C713" s="168" t="s">
        <v>89</v>
      </c>
      <c r="D713" s="167">
        <v>100</v>
      </c>
      <c r="E713" s="167">
        <v>0</v>
      </c>
      <c r="F713" s="167">
        <v>0</v>
      </c>
      <c r="G713" s="167"/>
      <c r="H713" s="167"/>
    </row>
    <row r="714" spans="1:9">
      <c r="A714" s="124"/>
      <c r="B714" s="124"/>
      <c r="C714" s="124" t="s">
        <v>924</v>
      </c>
      <c r="D714" s="144">
        <f>SUM(D710:D713)</f>
        <v>370</v>
      </c>
      <c r="E714" s="144">
        <f>SUM(E710:E713)</f>
        <v>270</v>
      </c>
      <c r="F714" s="144">
        <f>SUM(F710:F711)</f>
        <v>170</v>
      </c>
      <c r="G714" s="144">
        <f>SUM(G710:G710)</f>
        <v>95.61</v>
      </c>
      <c r="H714" s="144">
        <f>SUM(H710:H710)</f>
        <v>0</v>
      </c>
    </row>
    <row r="715" spans="1:9">
      <c r="A715" s="121">
        <v>7</v>
      </c>
      <c r="B715" s="121" t="s">
        <v>3</v>
      </c>
      <c r="C715" s="121"/>
      <c r="D715" s="142"/>
      <c r="E715" s="142"/>
      <c r="F715" s="142"/>
      <c r="G715" s="142"/>
      <c r="H715" s="142"/>
    </row>
    <row r="716" spans="1:9">
      <c r="A716" s="121" t="s">
        <v>706</v>
      </c>
      <c r="B716" s="121"/>
      <c r="C716" s="121" t="s">
        <v>711</v>
      </c>
      <c r="D716" s="142">
        <v>200</v>
      </c>
      <c r="E716" s="142">
        <v>200</v>
      </c>
      <c r="F716" s="142">
        <v>200</v>
      </c>
      <c r="G716" s="142"/>
      <c r="H716" s="142"/>
      <c r="I716" t="s">
        <v>227</v>
      </c>
    </row>
    <row r="717" spans="1:9">
      <c r="A717" s="121" t="s">
        <v>709</v>
      </c>
      <c r="B717" s="121"/>
      <c r="C717" s="121" t="s">
        <v>4</v>
      </c>
      <c r="D717" s="142">
        <v>600</v>
      </c>
      <c r="E717" s="142">
        <v>600</v>
      </c>
      <c r="F717" s="142">
        <v>600</v>
      </c>
      <c r="G717" s="142"/>
      <c r="H717" s="142"/>
    </row>
    <row r="718" spans="1:9">
      <c r="A718" s="124"/>
      <c r="B718" s="124"/>
      <c r="C718" s="124" t="s">
        <v>924</v>
      </c>
      <c r="D718" s="144">
        <f>SUM(D716:D717)</f>
        <v>800</v>
      </c>
      <c r="E718" s="144">
        <f>SUM(E716:E717)</f>
        <v>800</v>
      </c>
      <c r="F718" s="144">
        <f>SUM(F716:F717)</f>
        <v>800</v>
      </c>
      <c r="G718" s="144">
        <f>SUM(G716:G717)</f>
        <v>0</v>
      </c>
      <c r="H718" s="144">
        <f>SUM(H716:H717)</f>
        <v>0</v>
      </c>
    </row>
    <row r="719" spans="1:9" ht="15.75" customHeight="1">
      <c r="A719" s="121">
        <v>8</v>
      </c>
      <c r="B719" s="121" t="s">
        <v>294</v>
      </c>
      <c r="C719" s="121"/>
      <c r="D719" s="142"/>
      <c r="E719" s="142"/>
      <c r="F719" s="142"/>
      <c r="G719" s="142"/>
      <c r="H719" s="142"/>
    </row>
    <row r="720" spans="1:9">
      <c r="A720" s="121" t="s">
        <v>706</v>
      </c>
      <c r="B720" s="121"/>
      <c r="C720" s="121" t="s">
        <v>5</v>
      </c>
      <c r="D720" s="142">
        <v>600</v>
      </c>
      <c r="E720" s="142"/>
      <c r="F720" s="142"/>
      <c r="G720" s="142"/>
      <c r="H720" s="142"/>
    </row>
    <row r="721" spans="1:8" ht="17.25" customHeight="1">
      <c r="A721" s="121" t="s">
        <v>709</v>
      </c>
      <c r="B721" s="121"/>
      <c r="C721" s="121" t="s">
        <v>6</v>
      </c>
      <c r="D721" s="142">
        <v>200</v>
      </c>
      <c r="E721" s="142"/>
      <c r="F721" s="142"/>
      <c r="G721" s="142"/>
      <c r="H721" s="142"/>
    </row>
    <row r="722" spans="1:8" s="213" customFormat="1">
      <c r="A722" s="168" t="s">
        <v>710</v>
      </c>
      <c r="B722" s="168"/>
      <c r="C722" s="168" t="s">
        <v>7</v>
      </c>
      <c r="D722" s="167">
        <v>300</v>
      </c>
      <c r="E722" s="167"/>
      <c r="F722" s="167"/>
      <c r="G722" s="167"/>
      <c r="H722" s="167"/>
    </row>
    <row r="723" spans="1:8">
      <c r="A723" s="124"/>
      <c r="B723" s="124"/>
      <c r="C723" s="124" t="s">
        <v>924</v>
      </c>
      <c r="D723" s="144">
        <f>SUM(D720:D722)</f>
        <v>1100</v>
      </c>
      <c r="E723" s="144">
        <f>SUM(E720:E721)</f>
        <v>0</v>
      </c>
      <c r="F723" s="144">
        <f>SUM(F720:F721)</f>
        <v>0</v>
      </c>
      <c r="G723" s="144">
        <f>SUM(G720:G720)</f>
        <v>0</v>
      </c>
      <c r="H723" s="144">
        <f>SUM(H720:H720)</f>
        <v>0</v>
      </c>
    </row>
    <row r="724" spans="1:8" s="215" customFormat="1">
      <c r="A724" s="168">
        <v>9</v>
      </c>
      <c r="B724" s="168" t="s">
        <v>533</v>
      </c>
      <c r="C724" s="168"/>
      <c r="D724" s="167"/>
      <c r="E724" s="167"/>
      <c r="F724" s="167"/>
      <c r="G724" s="167"/>
      <c r="H724" s="167"/>
    </row>
    <row r="725" spans="1:8" s="215" customFormat="1">
      <c r="A725" s="168" t="s">
        <v>706</v>
      </c>
      <c r="B725" s="168"/>
      <c r="C725" s="168" t="s">
        <v>10</v>
      </c>
      <c r="D725" s="167">
        <v>2500</v>
      </c>
      <c r="E725" s="167">
        <v>2500</v>
      </c>
      <c r="F725" s="167">
        <v>2500</v>
      </c>
      <c r="G725" s="167">
        <v>2500</v>
      </c>
      <c r="H725" s="167"/>
    </row>
    <row r="726" spans="1:8">
      <c r="A726" s="124"/>
      <c r="B726" s="124"/>
      <c r="C726" s="124" t="s">
        <v>924</v>
      </c>
      <c r="D726" s="144">
        <f>SUM(D725)</f>
        <v>2500</v>
      </c>
      <c r="E726" s="144">
        <f>SUM(E725)</f>
        <v>2500</v>
      </c>
      <c r="F726" s="144">
        <f>SUM(F725)</f>
        <v>2500</v>
      </c>
      <c r="G726" s="144">
        <f>SUM(G725)</f>
        <v>2500</v>
      </c>
      <c r="H726" s="144">
        <f>SUM(H725)</f>
        <v>0</v>
      </c>
    </row>
    <row r="727" spans="1:8" s="215" customFormat="1">
      <c r="A727" s="168">
        <v>10</v>
      </c>
      <c r="B727" s="168" t="s">
        <v>41</v>
      </c>
      <c r="C727" s="168"/>
      <c r="D727" s="167"/>
      <c r="E727" s="167"/>
      <c r="F727" s="167"/>
      <c r="G727" s="167"/>
      <c r="H727" s="167"/>
    </row>
    <row r="728" spans="1:8" s="215" customFormat="1">
      <c r="A728" s="168" t="s">
        <v>706</v>
      </c>
      <c r="B728" s="168"/>
      <c r="C728" s="168" t="s">
        <v>11</v>
      </c>
      <c r="D728" s="167">
        <v>200</v>
      </c>
      <c r="E728" s="167">
        <v>200</v>
      </c>
      <c r="F728" s="167">
        <v>200</v>
      </c>
      <c r="G728" s="167"/>
      <c r="H728" s="167"/>
    </row>
    <row r="729" spans="1:8">
      <c r="A729" s="124"/>
      <c r="B729" s="124"/>
      <c r="C729" s="124" t="s">
        <v>924</v>
      </c>
      <c r="D729" s="144">
        <f>SUM(D728)</f>
        <v>200</v>
      </c>
      <c r="E729" s="144">
        <f>SUM(E728)</f>
        <v>200</v>
      </c>
      <c r="F729" s="144">
        <f>SUM(F728)</f>
        <v>200</v>
      </c>
      <c r="G729" s="144">
        <f>SUM(G728)</f>
        <v>0</v>
      </c>
      <c r="H729" s="144">
        <f>SUM(H728)</f>
        <v>0</v>
      </c>
    </row>
    <row r="730" spans="1:8" s="215" customFormat="1">
      <c r="A730" s="168">
        <v>11</v>
      </c>
      <c r="B730" s="168" t="s">
        <v>12</v>
      </c>
      <c r="C730" s="168"/>
      <c r="D730" s="167"/>
      <c r="E730" s="167"/>
      <c r="F730" s="167"/>
      <c r="G730" s="167"/>
      <c r="H730" s="167"/>
    </row>
    <row r="731" spans="1:8" s="215" customFormat="1">
      <c r="A731" s="168"/>
      <c r="B731" s="168"/>
      <c r="C731" s="168" t="s">
        <v>13</v>
      </c>
      <c r="D731" s="167">
        <v>1662.5</v>
      </c>
      <c r="E731" s="167">
        <v>400</v>
      </c>
      <c r="F731" s="167">
        <v>400</v>
      </c>
      <c r="G731" s="167"/>
      <c r="H731" s="167"/>
    </row>
    <row r="732" spans="1:8" s="215" customFormat="1">
      <c r="A732" s="168"/>
      <c r="B732" s="168"/>
      <c r="C732" s="168" t="s">
        <v>361</v>
      </c>
      <c r="D732" s="167">
        <v>9</v>
      </c>
      <c r="E732" s="167">
        <v>9</v>
      </c>
      <c r="F732" s="167">
        <v>9</v>
      </c>
      <c r="G732" s="167"/>
      <c r="H732" s="167"/>
    </row>
    <row r="733" spans="1:8">
      <c r="A733" s="124"/>
      <c r="B733" s="124"/>
      <c r="C733" s="124" t="s">
        <v>924</v>
      </c>
      <c r="D733" s="144">
        <f>SUM(D731, D732)</f>
        <v>1671.5</v>
      </c>
      <c r="E733" s="144">
        <f>SUM(E731, E732)</f>
        <v>409</v>
      </c>
      <c r="F733" s="144">
        <f>SUM(F731, F732)</f>
        <v>409</v>
      </c>
      <c r="G733" s="144">
        <f>SUM(G731, G732)</f>
        <v>0</v>
      </c>
      <c r="H733" s="144">
        <f>SUM(H731, H732)</f>
        <v>0</v>
      </c>
    </row>
    <row r="734" spans="1:8" s="113" customFormat="1">
      <c r="A734" s="216">
        <v>12</v>
      </c>
      <c r="B734" s="216" t="s">
        <v>150</v>
      </c>
      <c r="C734" s="216"/>
      <c r="D734" s="167"/>
      <c r="E734" s="167"/>
      <c r="F734" s="167"/>
      <c r="G734" s="167"/>
      <c r="H734" s="167"/>
    </row>
    <row r="735" spans="1:8" s="113" customFormat="1">
      <c r="A735" s="216"/>
      <c r="B735" s="121"/>
      <c r="C735" s="121" t="s">
        <v>749</v>
      </c>
      <c r="D735" s="217">
        <v>350</v>
      </c>
      <c r="E735" s="217">
        <v>350</v>
      </c>
      <c r="F735" s="217">
        <v>350</v>
      </c>
      <c r="G735" s="167"/>
      <c r="H735" s="167"/>
    </row>
    <row r="736" spans="1:8" s="113" customFormat="1">
      <c r="A736" s="216"/>
      <c r="B736" s="121"/>
      <c r="C736" s="121" t="s">
        <v>516</v>
      </c>
      <c r="D736" s="217">
        <v>50</v>
      </c>
      <c r="E736" s="217">
        <v>50</v>
      </c>
      <c r="F736" s="217">
        <v>50</v>
      </c>
      <c r="G736" s="167"/>
      <c r="H736" s="167"/>
    </row>
    <row r="737" spans="1:8" s="113" customFormat="1">
      <c r="A737" s="216"/>
      <c r="B737" s="121"/>
      <c r="C737" s="121" t="s">
        <v>708</v>
      </c>
      <c r="D737" s="217">
        <v>9</v>
      </c>
      <c r="E737" s="217">
        <v>9</v>
      </c>
      <c r="F737" s="217">
        <v>9</v>
      </c>
      <c r="G737" s="167"/>
      <c r="H737" s="167"/>
    </row>
    <row r="738" spans="1:8" s="113" customFormat="1">
      <c r="A738" s="216"/>
      <c r="B738" s="121"/>
      <c r="C738" s="121" t="s">
        <v>711</v>
      </c>
      <c r="D738" s="217">
        <v>1000</v>
      </c>
      <c r="E738" s="217">
        <v>1000</v>
      </c>
      <c r="F738" s="217">
        <v>1000</v>
      </c>
      <c r="G738" s="167">
        <f>1000</f>
        <v>1000</v>
      </c>
      <c r="H738" s="167"/>
    </row>
    <row r="739" spans="1:8">
      <c r="A739" s="124"/>
      <c r="B739" s="124"/>
      <c r="C739" s="124" t="s">
        <v>924</v>
      </c>
      <c r="D739" s="144">
        <f>SUM(D737, D738)</f>
        <v>1009</v>
      </c>
      <c r="E739" s="144">
        <f>SUM(E737, E738)</f>
        <v>1009</v>
      </c>
      <c r="F739" s="144">
        <f>SUM(F737, F738)</f>
        <v>1009</v>
      </c>
      <c r="G739" s="144">
        <f>SUM(G737, G738)</f>
        <v>1000</v>
      </c>
      <c r="H739" s="144">
        <f>SUM(H737, H738)</f>
        <v>0</v>
      </c>
    </row>
    <row r="740" spans="1:8" s="191" customFormat="1" ht="12" customHeight="1">
      <c r="A740" s="214" t="s">
        <v>8</v>
      </c>
      <c r="B740" s="210"/>
      <c r="C740" s="210"/>
      <c r="D740" s="211">
        <f>SUM(D733,D729,D726,D723,D718,D714,D708,D697,D694,D690,D685,)</f>
        <v>16401.96</v>
      </c>
      <c r="E740" s="211">
        <f>SUM(E733,E729,E726,E723,E718,E714,E708,E697,E694,E690,E685,)</f>
        <v>12353</v>
      </c>
      <c r="F740" s="211">
        <f>SUM(F733,F729,F726,F723,F718,F714,F708,F697,F694,F690,F685,)</f>
        <v>12253</v>
      </c>
      <c r="G740" s="211">
        <f>SUM(G733,G729,G726,G723,G718,G714,G708,G697,G694,G690,G685,)</f>
        <v>2595.61</v>
      </c>
      <c r="H740" s="211">
        <f>SUM(H733,H729,H726,H723,H718,H714,H708,H697,H694,H690,H685,)</f>
        <v>0</v>
      </c>
    </row>
    <row r="741" spans="1:8" ht="12" customHeight="1">
      <c r="A741" s="218" t="s">
        <v>950</v>
      </c>
      <c r="B741" s="219"/>
      <c r="C741" s="219"/>
      <c r="D741" s="220"/>
      <c r="E741" s="220"/>
      <c r="F741" s="221"/>
      <c r="G741" s="221"/>
      <c r="H741" s="221"/>
    </row>
    <row r="742" spans="1:8" ht="15.75" customHeight="1">
      <c r="A742" s="117"/>
      <c r="B742" s="118" t="s">
        <v>923</v>
      </c>
      <c r="C742" s="118" t="s">
        <v>699</v>
      </c>
      <c r="D742" s="140" t="s">
        <v>700</v>
      </c>
      <c r="E742" s="140" t="s">
        <v>701</v>
      </c>
      <c r="F742" s="141" t="s">
        <v>702</v>
      </c>
      <c r="G742" s="141" t="s">
        <v>703</v>
      </c>
      <c r="H742" s="141" t="s">
        <v>704</v>
      </c>
    </row>
    <row r="743" spans="1:8">
      <c r="A743" s="121">
        <v>1</v>
      </c>
      <c r="B743" s="121" t="s">
        <v>180</v>
      </c>
      <c r="C743" s="121"/>
      <c r="D743" s="142"/>
      <c r="E743" s="142"/>
      <c r="F743" s="142"/>
      <c r="G743" s="142"/>
      <c r="H743" s="142"/>
    </row>
    <row r="744" spans="1:8">
      <c r="A744" s="121" t="s">
        <v>706</v>
      </c>
      <c r="B744" s="121"/>
      <c r="C744" s="121" t="s">
        <v>951</v>
      </c>
      <c r="D744" s="142">
        <v>100</v>
      </c>
      <c r="E744" s="142">
        <v>100</v>
      </c>
      <c r="F744" s="142">
        <v>100</v>
      </c>
      <c r="G744" s="142"/>
      <c r="H744" s="142"/>
    </row>
    <row r="745" spans="1:8">
      <c r="A745" s="121" t="s">
        <v>709</v>
      </c>
      <c r="B745" s="121"/>
      <c r="C745" s="121" t="s">
        <v>711</v>
      </c>
      <c r="D745" s="142">
        <v>80</v>
      </c>
      <c r="E745" s="142">
        <v>40</v>
      </c>
      <c r="F745" s="142">
        <v>40</v>
      </c>
      <c r="G745" s="142"/>
      <c r="H745" s="142"/>
    </row>
    <row r="746" spans="1:8">
      <c r="A746" s="124"/>
      <c r="B746" s="124"/>
      <c r="C746" s="124" t="s">
        <v>924</v>
      </c>
      <c r="D746" s="144">
        <f>SUM(D744:D745)</f>
        <v>180</v>
      </c>
      <c r="E746" s="144">
        <f>SUM(E744:E745)</f>
        <v>140</v>
      </c>
      <c r="F746" s="144">
        <f>SUM(F744:F745)</f>
        <v>140</v>
      </c>
      <c r="G746" s="144">
        <f>SUM(G744:G745)</f>
        <v>0</v>
      </c>
      <c r="H746" s="144">
        <f>SUM(H744:H745)</f>
        <v>0</v>
      </c>
    </row>
    <row r="747" spans="1:8">
      <c r="A747" s="121">
        <v>2</v>
      </c>
      <c r="B747" s="121" t="s">
        <v>952</v>
      </c>
      <c r="C747" s="121"/>
      <c r="D747" s="142"/>
      <c r="E747" s="142"/>
      <c r="F747" s="142"/>
      <c r="G747" s="142"/>
      <c r="H747" s="142"/>
    </row>
    <row r="748" spans="1:8">
      <c r="A748" s="121" t="s">
        <v>706</v>
      </c>
      <c r="B748" s="121"/>
      <c r="C748" s="121" t="s">
        <v>953</v>
      </c>
      <c r="D748" s="142">
        <v>103.42</v>
      </c>
      <c r="E748" s="142"/>
      <c r="F748" s="142"/>
      <c r="G748" s="142"/>
      <c r="H748" s="142"/>
    </row>
    <row r="749" spans="1:8">
      <c r="A749" s="124"/>
      <c r="B749" s="124"/>
      <c r="C749" s="124" t="s">
        <v>924</v>
      </c>
      <c r="D749" s="144">
        <f>SUM(D748:D748)</f>
        <v>103.42</v>
      </c>
      <c r="E749" s="144">
        <f>SUM(E748:E748)</f>
        <v>0</v>
      </c>
      <c r="F749" s="144">
        <f>SUM(F748:F748)</f>
        <v>0</v>
      </c>
      <c r="G749" s="144">
        <f>SUM(G748:G748)</f>
        <v>0</v>
      </c>
      <c r="H749" s="144">
        <f>SUM(H748:H748)</f>
        <v>0</v>
      </c>
    </row>
    <row r="750" spans="1:8">
      <c r="A750" s="121">
        <v>3</v>
      </c>
      <c r="B750" s="121" t="s">
        <v>81</v>
      </c>
      <c r="C750" s="121"/>
      <c r="D750" s="142"/>
      <c r="E750" s="142"/>
      <c r="F750" s="142"/>
      <c r="G750" s="142"/>
      <c r="H750" s="142"/>
    </row>
    <row r="751" spans="1:8">
      <c r="A751" s="121" t="s">
        <v>706</v>
      </c>
      <c r="B751" s="121"/>
      <c r="C751" s="121" t="s">
        <v>954</v>
      </c>
      <c r="D751" s="142">
        <v>200</v>
      </c>
      <c r="E751" s="142">
        <v>200</v>
      </c>
      <c r="F751" s="142">
        <v>200</v>
      </c>
      <c r="G751" s="142"/>
      <c r="H751" s="142"/>
    </row>
    <row r="752" spans="1:8">
      <c r="A752" s="121" t="s">
        <v>709</v>
      </c>
      <c r="B752" s="121"/>
      <c r="C752" s="121" t="s">
        <v>83</v>
      </c>
      <c r="D752" s="142">
        <v>100</v>
      </c>
      <c r="E752" s="142">
        <v>100</v>
      </c>
      <c r="F752" s="142">
        <v>100</v>
      </c>
      <c r="G752" s="142"/>
      <c r="H752" s="142"/>
    </row>
    <row r="753" spans="1:8">
      <c r="A753" s="124"/>
      <c r="B753" s="124"/>
      <c r="C753" s="124" t="s">
        <v>924</v>
      </c>
      <c r="D753" s="144">
        <f>SUM(D751:D752)</f>
        <v>300</v>
      </c>
      <c r="E753" s="144">
        <f>SUM(E751:E752)</f>
        <v>300</v>
      </c>
      <c r="F753" s="144">
        <f>SUM(F751:F752)</f>
        <v>300</v>
      </c>
      <c r="G753" s="144">
        <f>SUM(G751:G752)</f>
        <v>0</v>
      </c>
      <c r="H753" s="144">
        <f>SUM(H751:H752)</f>
        <v>0</v>
      </c>
    </row>
    <row r="754" spans="1:8">
      <c r="A754" s="121">
        <v>4</v>
      </c>
      <c r="B754" s="121" t="s">
        <v>955</v>
      </c>
      <c r="C754" s="121"/>
      <c r="D754" s="142"/>
      <c r="E754" s="142"/>
      <c r="F754" s="142"/>
      <c r="G754" s="142"/>
      <c r="H754" s="142"/>
    </row>
    <row r="755" spans="1:8">
      <c r="A755" s="121" t="s">
        <v>706</v>
      </c>
      <c r="B755" s="121"/>
      <c r="C755" s="121" t="s">
        <v>956</v>
      </c>
      <c r="D755" s="142">
        <v>2115</v>
      </c>
      <c r="E755" s="142">
        <v>2115</v>
      </c>
      <c r="F755" s="142">
        <v>2115</v>
      </c>
      <c r="G755" s="142"/>
      <c r="H755" s="142"/>
    </row>
    <row r="756" spans="1:8">
      <c r="A756" s="121" t="s">
        <v>709</v>
      </c>
      <c r="B756" s="121"/>
      <c r="C756" s="121" t="s">
        <v>957</v>
      </c>
      <c r="D756" s="142">
        <v>3500</v>
      </c>
      <c r="E756" s="142">
        <v>3500</v>
      </c>
      <c r="F756" s="142">
        <v>3500</v>
      </c>
      <c r="G756" s="142"/>
      <c r="H756" s="142"/>
    </row>
    <row r="757" spans="1:8">
      <c r="A757" s="121" t="s">
        <v>710</v>
      </c>
      <c r="B757" s="121"/>
      <c r="C757" s="121" t="s">
        <v>958</v>
      </c>
      <c r="D757" s="142">
        <v>2500</v>
      </c>
      <c r="E757" s="142">
        <v>2500</v>
      </c>
      <c r="F757" s="142">
        <v>2500</v>
      </c>
      <c r="G757" s="142"/>
      <c r="H757" s="142"/>
    </row>
    <row r="758" spans="1:8">
      <c r="A758" s="121" t="s">
        <v>712</v>
      </c>
      <c r="B758" s="121"/>
      <c r="C758" s="121" t="s">
        <v>959</v>
      </c>
      <c r="D758" s="142">
        <v>2000</v>
      </c>
      <c r="E758" s="142">
        <v>2000</v>
      </c>
      <c r="F758" s="142">
        <v>2000</v>
      </c>
      <c r="G758" s="142"/>
      <c r="H758" s="142"/>
    </row>
    <row r="759" spans="1:8">
      <c r="A759" s="124"/>
      <c r="B759" s="124"/>
      <c r="C759" s="124" t="s">
        <v>924</v>
      </c>
      <c r="D759" s="144">
        <f>SUM(D755:D758)</f>
        <v>10115</v>
      </c>
      <c r="E759" s="144">
        <f>SUM(E755:E758)</f>
        <v>10115</v>
      </c>
      <c r="F759" s="144">
        <f>SUM(F755:F758)</f>
        <v>10115</v>
      </c>
      <c r="G759" s="144">
        <f>SUM(G755:G758)</f>
        <v>0</v>
      </c>
      <c r="H759" s="144">
        <f>SUM(H755:H758)</f>
        <v>0</v>
      </c>
    </row>
    <row r="760" spans="1:8">
      <c r="A760" s="121">
        <v>5</v>
      </c>
      <c r="B760" s="121" t="s">
        <v>115</v>
      </c>
      <c r="C760" s="121"/>
      <c r="D760" s="142"/>
      <c r="E760" s="142"/>
      <c r="F760" s="142"/>
      <c r="G760" s="142"/>
      <c r="H760" s="142"/>
    </row>
    <row r="761" spans="1:8">
      <c r="A761" s="121" t="s">
        <v>706</v>
      </c>
      <c r="B761" s="121"/>
      <c r="C761" s="121" t="s">
        <v>960</v>
      </c>
      <c r="D761" s="142">
        <v>9</v>
      </c>
      <c r="E761" s="142">
        <v>9</v>
      </c>
      <c r="F761" s="142">
        <v>9</v>
      </c>
      <c r="G761" s="142"/>
      <c r="H761" s="142"/>
    </row>
    <row r="762" spans="1:8">
      <c r="A762" s="121" t="s">
        <v>709</v>
      </c>
      <c r="B762" s="121"/>
      <c r="C762" s="121" t="s">
        <v>711</v>
      </c>
      <c r="D762" s="142">
        <v>65</v>
      </c>
      <c r="E762" s="142">
        <v>0</v>
      </c>
      <c r="F762" s="142">
        <v>0</v>
      </c>
      <c r="G762" s="142"/>
      <c r="H762" s="142"/>
    </row>
    <row r="763" spans="1:8">
      <c r="A763" s="124"/>
      <c r="B763" s="124"/>
      <c r="C763" s="124" t="s">
        <v>924</v>
      </c>
      <c r="D763" s="144">
        <f>SUM(D761:D762)</f>
        <v>74</v>
      </c>
      <c r="E763" s="144">
        <f>SUM(E761:E762)</f>
        <v>9</v>
      </c>
      <c r="F763" s="144">
        <f>SUM(F761:F762)</f>
        <v>9</v>
      </c>
      <c r="G763" s="144">
        <f>SUM(G761:G762)</f>
        <v>0</v>
      </c>
      <c r="H763" s="144">
        <f>SUM(H761:H762)</f>
        <v>0</v>
      </c>
    </row>
    <row r="764" spans="1:8">
      <c r="A764" s="121">
        <v>6</v>
      </c>
      <c r="B764" s="121" t="s">
        <v>37</v>
      </c>
      <c r="C764" s="121"/>
      <c r="D764" s="142"/>
      <c r="E764" s="142"/>
      <c r="F764" s="142"/>
      <c r="G764" s="142"/>
      <c r="H764" s="142"/>
    </row>
    <row r="765" spans="1:8">
      <c r="A765" s="121" t="s">
        <v>706</v>
      </c>
      <c r="B765" s="121"/>
      <c r="C765" s="121" t="s">
        <v>38</v>
      </c>
      <c r="D765" s="142">
        <v>120</v>
      </c>
      <c r="E765" s="142">
        <v>120</v>
      </c>
      <c r="F765" s="142">
        <v>120</v>
      </c>
      <c r="G765" s="142"/>
      <c r="H765" s="142"/>
    </row>
    <row r="766" spans="1:8">
      <c r="A766" s="124"/>
      <c r="B766" s="124"/>
      <c r="C766" s="124" t="s">
        <v>924</v>
      </c>
      <c r="D766" s="144">
        <f>SUM(D765:D765)</f>
        <v>120</v>
      </c>
      <c r="E766" s="144">
        <f>SUM(E765:E765)</f>
        <v>120</v>
      </c>
      <c r="F766" s="144">
        <f>SUM(F765:F765)</f>
        <v>120</v>
      </c>
      <c r="G766" s="144">
        <f>SUM(G765:G765)</f>
        <v>0</v>
      </c>
      <c r="H766" s="144">
        <f>SUM(H765:H765)</f>
        <v>0</v>
      </c>
    </row>
    <row r="767" spans="1:8">
      <c r="A767" s="121">
        <v>7</v>
      </c>
      <c r="B767" s="121" t="s">
        <v>23</v>
      </c>
      <c r="C767" s="121"/>
      <c r="D767" s="142"/>
      <c r="E767" s="142"/>
      <c r="F767" s="142"/>
      <c r="G767" s="142"/>
      <c r="H767" s="142"/>
    </row>
    <row r="768" spans="1:8">
      <c r="A768" s="121" t="s">
        <v>706</v>
      </c>
      <c r="B768" s="121"/>
      <c r="C768" s="121" t="s">
        <v>24</v>
      </c>
      <c r="D768" s="142">
        <v>500</v>
      </c>
      <c r="E768" s="142">
        <v>500</v>
      </c>
      <c r="F768" s="142">
        <v>500</v>
      </c>
      <c r="G768" s="142"/>
      <c r="H768" s="142"/>
    </row>
    <row r="769" spans="1:8">
      <c r="A769" s="124"/>
      <c r="B769" s="124"/>
      <c r="C769" s="124" t="s">
        <v>924</v>
      </c>
      <c r="D769" s="144">
        <f>SUM(D768:D768)</f>
        <v>500</v>
      </c>
      <c r="E769" s="144">
        <f>SUM(E768:E768)</f>
        <v>500</v>
      </c>
      <c r="F769" s="144">
        <f>SUM(F768:F768)</f>
        <v>500</v>
      </c>
      <c r="G769" s="144">
        <f>SUM(G768:G768)</f>
        <v>0</v>
      </c>
      <c r="H769" s="144">
        <f>SUM(H768:H768)</f>
        <v>0</v>
      </c>
    </row>
    <row r="770" spans="1:8" s="223" customFormat="1" ht="12" customHeight="1">
      <c r="A770" s="222" t="s">
        <v>961</v>
      </c>
      <c r="B770" s="219"/>
      <c r="C770" s="219"/>
      <c r="D770" s="220">
        <f>SUM(D766,D763,D759,D753,D749,D746)</f>
        <v>10892.42</v>
      </c>
      <c r="E770" s="220">
        <f>SUM(E766,E763,E759,E753,E749,E746)</f>
        <v>10684</v>
      </c>
      <c r="F770" s="220">
        <f>SUM(F766,F763,F759,F753,F749,F746)</f>
        <v>10684</v>
      </c>
      <c r="G770" s="220">
        <f>SUM(G766,G763,G759,G753,G749,G746)</f>
        <v>0</v>
      </c>
      <c r="H770" s="220">
        <f>SUM(H766,H763,H759,H753,H749,H746)</f>
        <v>0</v>
      </c>
    </row>
    <row r="771" spans="1:8" ht="18.75">
      <c r="A771" s="192" t="s">
        <v>856</v>
      </c>
      <c r="B771" s="150"/>
      <c r="C771" s="150"/>
      <c r="D771" s="151">
        <f>SUM(D146,D217,D282,D386,D490,D552,D621,D679,D740,D770)</f>
        <v>48227.77</v>
      </c>
      <c r="E771" s="151">
        <f>SUM(E146,E217,E282,E386,E490,E552,E621,E679,E740,E770)</f>
        <v>37939.89</v>
      </c>
      <c r="F771" s="151">
        <f>SUM(F146,F217,F282,F386,F490,F552,F621,F679,F740,F770)</f>
        <v>32795.89</v>
      </c>
      <c r="G771" s="151">
        <f>SUM(G146,G217,G282,G386,G490,G552,G621,G679,G740,G770)</f>
        <v>3832.16</v>
      </c>
      <c r="H771" s="151">
        <f>SUM(H146,H217,H282,H386,H490,H552,H621,H679,H740,H770)</f>
        <v>261.45</v>
      </c>
    </row>
  </sheetData>
  <phoneticPr fontId="29" type="noConversion"/>
  <conditionalFormatting sqref="D12">
    <cfRule type="cellIs" dxfId="0" priority="12" operator="notEqual">
      <formula>SUM($D$8:$D$11)</formula>
    </cfRule>
  </conditionalFormatting>
  <pageMargins left="0.7" right="0.7" top="0.75" bottom="0.75" header="0.3" footer="0.3"/>
  <pageSetup scale="120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10" sqref="A10"/>
    </sheetView>
  </sheetViews>
  <sheetFormatPr defaultColWidth="8.75" defaultRowHeight="12.75"/>
  <cols>
    <col min="1" max="1" width="20.625" bestFit="1" customWidth="1"/>
    <col min="2" max="2" width="8.75" style="184"/>
  </cols>
  <sheetData>
    <row r="1" spans="1:2">
      <c r="A1" s="170" t="s">
        <v>136</v>
      </c>
    </row>
    <row r="2" spans="1:2">
      <c r="A2" s="170" t="s">
        <v>137</v>
      </c>
      <c r="B2" s="184">
        <v>9</v>
      </c>
    </row>
    <row r="3" spans="1:2">
      <c r="A3" s="170" t="s">
        <v>343</v>
      </c>
      <c r="B3" s="184">
        <v>50</v>
      </c>
    </row>
    <row r="4" spans="1:2">
      <c r="A4" s="170" t="s">
        <v>138</v>
      </c>
      <c r="B4" s="184">
        <v>30</v>
      </c>
    </row>
    <row r="5" spans="1:2" s="90" customFormat="1">
      <c r="B5" s="185"/>
    </row>
    <row r="6" spans="1:2">
      <c r="A6" s="170" t="s">
        <v>139</v>
      </c>
    </row>
    <row r="7" spans="1:2">
      <c r="A7" s="170" t="s">
        <v>140</v>
      </c>
      <c r="B7" s="184">
        <v>250</v>
      </c>
    </row>
    <row r="8" spans="1:2" s="90" customFormat="1">
      <c r="B8" s="185"/>
    </row>
    <row r="9" spans="1:2">
      <c r="A9" s="170" t="s">
        <v>48</v>
      </c>
    </row>
    <row r="10" spans="1:2">
      <c r="A10" s="170" t="s">
        <v>711</v>
      </c>
      <c r="B10" s="184">
        <v>200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 General</vt:lpstr>
      <vt:lpstr>Club Budgets</vt:lpstr>
      <vt:lpstr>200Rule</vt:lpstr>
      <vt:lpstr>Discretionary</vt:lpstr>
      <vt:lpstr>Senate Fund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Arthur Johnson</dc:creator>
  <cp:lastModifiedBy>Amherst College Public Computer</cp:lastModifiedBy>
  <dcterms:created xsi:type="dcterms:W3CDTF">2009-11-02T20:26:59Z</dcterms:created>
  <dcterms:modified xsi:type="dcterms:W3CDTF">2010-12-07T02:08:02Z</dcterms:modified>
</cp:coreProperties>
</file>